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9156" activeTab="0"/>
  </bookViews>
  <sheets>
    <sheet name="Sheet1" sheetId="1" r:id="rId1"/>
  </sheets>
  <definedNames>
    <definedName name="_xlnm.Print_Area" localSheetId="0">'Sheet1'!$A$1:$L$95</definedName>
  </definedNames>
  <calcPr fullCalcOnLoad="1"/>
</workbook>
</file>

<file path=xl/sharedStrings.xml><?xml version="1.0" encoding="utf-8"?>
<sst xmlns="http://schemas.openxmlformats.org/spreadsheetml/2006/main" count="1039" uniqueCount="117">
  <si>
    <t>Altura total de la viga:</t>
  </si>
  <si>
    <t>Ancho de la viga:</t>
  </si>
  <si>
    <t>Espesor de la losa:</t>
  </si>
  <si>
    <t>cm</t>
  </si>
  <si>
    <t>b</t>
  </si>
  <si>
    <t>d</t>
  </si>
  <si>
    <t>A</t>
  </si>
  <si>
    <t>yi</t>
  </si>
  <si>
    <t>A.y</t>
  </si>
  <si>
    <t>y=</t>
  </si>
  <si>
    <t>Ib=</t>
  </si>
  <si>
    <t>cm4</t>
  </si>
  <si>
    <t>Is=</t>
  </si>
  <si>
    <t>Luz entre ejes de vigas:</t>
  </si>
  <si>
    <t>izq</t>
  </si>
  <si>
    <t>der</t>
  </si>
  <si>
    <r>
      <t xml:space="preserve">RELACION DE RIGIDEZ VIGA-LOSA </t>
    </r>
    <r>
      <rPr>
        <b/>
        <u val="single"/>
        <sz val="10"/>
        <rFont val="GreekC"/>
        <family val="0"/>
      </rPr>
      <t>a</t>
    </r>
    <r>
      <rPr>
        <b/>
        <u val="single"/>
        <sz val="10"/>
        <rFont val="Arial"/>
        <family val="0"/>
      </rPr>
      <t>:</t>
    </r>
  </si>
  <si>
    <t>Sólo pueden cambiarse los datos que figuran en color azul</t>
  </si>
  <si>
    <t>Parte de altura invertida:</t>
  </si>
  <si>
    <t>Ii</t>
  </si>
  <si>
    <t>A.y²</t>
  </si>
  <si>
    <t>Losa</t>
  </si>
  <si>
    <t>Cabeza Viga</t>
  </si>
  <si>
    <t>Parte Invertida</t>
  </si>
  <si>
    <t>Nervio</t>
  </si>
  <si>
    <r>
      <t xml:space="preserve">Nota: Si no hay viga, </t>
    </r>
    <r>
      <rPr>
        <i/>
        <sz val="8"/>
        <rFont val="GreekC"/>
        <family val="0"/>
      </rPr>
      <t>a</t>
    </r>
    <r>
      <rPr>
        <i/>
        <sz val="8"/>
        <rFont val="Arial"/>
        <family val="0"/>
      </rPr>
      <t>= 0</t>
    </r>
  </si>
  <si>
    <r>
      <t>a</t>
    </r>
    <r>
      <rPr>
        <b/>
        <sz val="10"/>
        <rFont val="Arial"/>
        <family val="2"/>
      </rPr>
      <t>izq</t>
    </r>
    <r>
      <rPr>
        <b/>
        <sz val="10"/>
        <rFont val="GreekC"/>
        <family val="0"/>
      </rPr>
      <t>=</t>
    </r>
  </si>
  <si>
    <r>
      <t>a</t>
    </r>
    <r>
      <rPr>
        <b/>
        <sz val="10"/>
        <rFont val="Arial"/>
        <family val="2"/>
      </rPr>
      <t>der</t>
    </r>
    <r>
      <rPr>
        <b/>
        <sz val="10"/>
        <rFont val="GreekC"/>
        <family val="0"/>
      </rPr>
      <t>=</t>
    </r>
  </si>
  <si>
    <r>
      <t>a</t>
    </r>
    <r>
      <rPr>
        <b/>
        <sz val="10"/>
        <rFont val="Arial"/>
        <family val="2"/>
      </rPr>
      <t>inf</t>
    </r>
    <r>
      <rPr>
        <b/>
        <sz val="10"/>
        <rFont val="GreekC"/>
        <family val="0"/>
      </rPr>
      <t>=</t>
    </r>
  </si>
  <si>
    <r>
      <t>a</t>
    </r>
    <r>
      <rPr>
        <b/>
        <sz val="10"/>
        <rFont val="Arial"/>
        <family val="2"/>
      </rPr>
      <t>sup</t>
    </r>
    <r>
      <rPr>
        <b/>
        <sz val="10"/>
        <rFont val="GreekC"/>
        <family val="0"/>
      </rPr>
      <t>=</t>
    </r>
  </si>
  <si>
    <t>Viga Izquierda:</t>
  </si>
  <si>
    <t>Viga Derecha:</t>
  </si>
  <si>
    <t>Viga Inferior:</t>
  </si>
  <si>
    <t>Viga Superior</t>
  </si>
  <si>
    <t>Datos:</t>
  </si>
  <si>
    <t>Luz x (entre ejes):</t>
  </si>
  <si>
    <t>Luz y (entre ejes):</t>
  </si>
  <si>
    <t>Viga izquierda:</t>
  </si>
  <si>
    <t>bw</t>
  </si>
  <si>
    <t>hw</t>
  </si>
  <si>
    <t>Vinculación:</t>
  </si>
  <si>
    <t>m</t>
  </si>
  <si>
    <t>Viga derecha:</t>
  </si>
  <si>
    <t>Viga inferior:</t>
  </si>
  <si>
    <t>Viga superior:</t>
  </si>
  <si>
    <t>ancho</t>
  </si>
  <si>
    <t>total</t>
  </si>
  <si>
    <t>altura</t>
  </si>
  <si>
    <t>delta</t>
  </si>
  <si>
    <t>parte de la viga invertida</t>
  </si>
  <si>
    <t>(diente sobresaliente de la losa)</t>
  </si>
  <si>
    <r>
      <t>a</t>
    </r>
    <r>
      <rPr>
        <b/>
        <sz val="10"/>
        <rFont val="Arial"/>
        <family val="2"/>
      </rPr>
      <t>m</t>
    </r>
    <r>
      <rPr>
        <b/>
        <sz val="10"/>
        <rFont val="GreekC"/>
        <family val="0"/>
      </rPr>
      <t>=</t>
    </r>
  </si>
  <si>
    <t>Alfa izquierda:</t>
  </si>
  <si>
    <t>Alfa derecha:</t>
  </si>
  <si>
    <t>Alfa inferior:</t>
  </si>
  <si>
    <t>Alfa superior:</t>
  </si>
  <si>
    <t>Si tiene losas adyacentes:</t>
  </si>
  <si>
    <t>A izquierda luz x (entre ejes):</t>
  </si>
  <si>
    <t>A derecha luz x (entre ejes):</t>
  </si>
  <si>
    <t>Inferior luz y (entre ejes):</t>
  </si>
  <si>
    <t>Superior luz y (entre ejes):</t>
  </si>
  <si>
    <t>Luz x (libre):</t>
  </si>
  <si>
    <t>Luz y (libre):</t>
  </si>
  <si>
    <r>
      <t>a</t>
    </r>
    <r>
      <rPr>
        <sz val="10"/>
        <color indexed="8"/>
        <rFont val="Arial"/>
        <family val="2"/>
      </rPr>
      <t>izq</t>
    </r>
    <r>
      <rPr>
        <sz val="10"/>
        <color indexed="8"/>
        <rFont val="GreekC"/>
        <family val="0"/>
      </rPr>
      <t>=</t>
    </r>
  </si>
  <si>
    <r>
      <t>a</t>
    </r>
    <r>
      <rPr>
        <sz val="10"/>
        <color indexed="8"/>
        <rFont val="Arial"/>
        <family val="2"/>
      </rPr>
      <t>der</t>
    </r>
    <r>
      <rPr>
        <sz val="10"/>
        <color indexed="8"/>
        <rFont val="GreekC"/>
        <family val="0"/>
      </rPr>
      <t>=</t>
    </r>
  </si>
  <si>
    <r>
      <t>a</t>
    </r>
    <r>
      <rPr>
        <sz val="10"/>
        <color indexed="8"/>
        <rFont val="Arial"/>
        <family val="2"/>
      </rPr>
      <t>inf</t>
    </r>
    <r>
      <rPr>
        <sz val="10"/>
        <color indexed="8"/>
        <rFont val="GreekC"/>
        <family val="0"/>
      </rPr>
      <t>=</t>
    </r>
  </si>
  <si>
    <r>
      <t>a</t>
    </r>
    <r>
      <rPr>
        <sz val="10"/>
        <color indexed="8"/>
        <rFont val="Arial"/>
        <family val="2"/>
      </rPr>
      <t>sup</t>
    </r>
    <r>
      <rPr>
        <sz val="10"/>
        <color indexed="8"/>
        <rFont val="GreekC"/>
        <family val="0"/>
      </rPr>
      <t>=</t>
    </r>
  </si>
  <si>
    <r>
      <t>b</t>
    </r>
    <r>
      <rPr>
        <sz val="10"/>
        <rFont val="Arial"/>
        <family val="0"/>
      </rPr>
      <t>=</t>
    </r>
  </si>
  <si>
    <t>Acero:</t>
  </si>
  <si>
    <t>fy=</t>
  </si>
  <si>
    <t>Mpa</t>
  </si>
  <si>
    <t>psi</t>
  </si>
  <si>
    <t>kg/cm²</t>
  </si>
  <si>
    <t>&lt; 0.20</t>
  </si>
  <si>
    <t>&lt; 2.00</t>
  </si>
  <si>
    <t>&gt; 2.00</t>
  </si>
  <si>
    <t>ln=</t>
  </si>
  <si>
    <r>
      <t>a</t>
    </r>
    <r>
      <rPr>
        <sz val="10"/>
        <color indexed="47"/>
        <rFont val="Arial"/>
        <family val="0"/>
      </rPr>
      <t>=</t>
    </r>
  </si>
  <si>
    <t>Predimensionamiento:</t>
  </si>
  <si>
    <t>s/perim/180:</t>
  </si>
  <si>
    <t>s/PRAEH:</t>
  </si>
  <si>
    <t>PREDIMENSIONAMIENTO DE LOSAS CRUZADAS:</t>
  </si>
  <si>
    <t>h &gt;</t>
  </si>
  <si>
    <t>= 0 para todos los bordes articulados</t>
  </si>
  <si>
    <t>= 1 para uno a tres bordes continuos o empotrados</t>
  </si>
  <si>
    <t>= 2 para los cuatro bordes continuos o empotrados</t>
  </si>
  <si>
    <r>
      <t>a</t>
    </r>
    <r>
      <rPr>
        <b/>
        <sz val="10"/>
        <color indexed="61"/>
        <rFont val="Arial"/>
        <family val="2"/>
      </rPr>
      <t>izq</t>
    </r>
    <r>
      <rPr>
        <b/>
        <sz val="10"/>
        <color indexed="61"/>
        <rFont val="GreekC"/>
        <family val="0"/>
      </rPr>
      <t>=</t>
    </r>
  </si>
  <si>
    <r>
      <t xml:space="preserve">Nota: Si no hay viga, </t>
    </r>
    <r>
      <rPr>
        <i/>
        <sz val="8"/>
        <color indexed="61"/>
        <rFont val="GreekC"/>
        <family val="0"/>
      </rPr>
      <t>a</t>
    </r>
    <r>
      <rPr>
        <i/>
        <sz val="8"/>
        <color indexed="61"/>
        <rFont val="Arial"/>
        <family val="0"/>
      </rPr>
      <t>= 0</t>
    </r>
  </si>
  <si>
    <r>
      <t>a</t>
    </r>
    <r>
      <rPr>
        <b/>
        <sz val="10"/>
        <color indexed="61"/>
        <rFont val="Arial"/>
        <family val="2"/>
      </rPr>
      <t>der</t>
    </r>
    <r>
      <rPr>
        <b/>
        <sz val="10"/>
        <color indexed="61"/>
        <rFont val="GreekC"/>
        <family val="0"/>
      </rPr>
      <t>=</t>
    </r>
  </si>
  <si>
    <r>
      <t>a</t>
    </r>
    <r>
      <rPr>
        <b/>
        <sz val="10"/>
        <color indexed="61"/>
        <rFont val="Arial"/>
        <family val="2"/>
      </rPr>
      <t>inf</t>
    </r>
    <r>
      <rPr>
        <b/>
        <sz val="10"/>
        <color indexed="61"/>
        <rFont val="GreekC"/>
        <family val="0"/>
      </rPr>
      <t>=</t>
    </r>
  </si>
  <si>
    <r>
      <t>a</t>
    </r>
    <r>
      <rPr>
        <b/>
        <sz val="10"/>
        <color indexed="61"/>
        <rFont val="Arial"/>
        <family val="2"/>
      </rPr>
      <t>sup</t>
    </r>
    <r>
      <rPr>
        <b/>
        <sz val="10"/>
        <color indexed="61"/>
        <rFont val="GreekC"/>
        <family val="0"/>
      </rPr>
      <t>=</t>
    </r>
  </si>
  <si>
    <r>
      <t>a</t>
    </r>
    <r>
      <rPr>
        <b/>
        <sz val="10"/>
        <color indexed="54"/>
        <rFont val="Arial"/>
        <family val="2"/>
      </rPr>
      <t>izq</t>
    </r>
    <r>
      <rPr>
        <b/>
        <sz val="10"/>
        <color indexed="54"/>
        <rFont val="GreekC"/>
        <family val="0"/>
      </rPr>
      <t>=</t>
    </r>
  </si>
  <si>
    <r>
      <t xml:space="preserve">Nota: Si no hay viga, </t>
    </r>
    <r>
      <rPr>
        <i/>
        <sz val="8"/>
        <color indexed="54"/>
        <rFont val="GreekC"/>
        <family val="0"/>
      </rPr>
      <t>a</t>
    </r>
    <r>
      <rPr>
        <i/>
        <sz val="8"/>
        <color indexed="54"/>
        <rFont val="Arial"/>
        <family val="0"/>
      </rPr>
      <t>= 0</t>
    </r>
  </si>
  <si>
    <r>
      <t>a</t>
    </r>
    <r>
      <rPr>
        <b/>
        <sz val="10"/>
        <color indexed="54"/>
        <rFont val="Arial"/>
        <family val="2"/>
      </rPr>
      <t>der</t>
    </r>
    <r>
      <rPr>
        <b/>
        <sz val="10"/>
        <color indexed="54"/>
        <rFont val="GreekC"/>
        <family val="0"/>
      </rPr>
      <t>=</t>
    </r>
  </si>
  <si>
    <r>
      <t>a</t>
    </r>
    <r>
      <rPr>
        <b/>
        <sz val="10"/>
        <color indexed="54"/>
        <rFont val="Arial"/>
        <family val="2"/>
      </rPr>
      <t>inf</t>
    </r>
    <r>
      <rPr>
        <b/>
        <sz val="10"/>
        <color indexed="54"/>
        <rFont val="GreekC"/>
        <family val="0"/>
      </rPr>
      <t>=</t>
    </r>
  </si>
  <si>
    <r>
      <t>a</t>
    </r>
    <r>
      <rPr>
        <b/>
        <sz val="10"/>
        <color indexed="54"/>
        <rFont val="Arial"/>
        <family val="2"/>
      </rPr>
      <t>sup</t>
    </r>
    <r>
      <rPr>
        <b/>
        <sz val="10"/>
        <color indexed="54"/>
        <rFont val="GreekC"/>
        <family val="0"/>
      </rPr>
      <t>=</t>
    </r>
  </si>
  <si>
    <t>CONFIRMACION 1:</t>
  </si>
  <si>
    <t>CONFIRMACION 2:</t>
  </si>
  <si>
    <t>CONFIRMACION 3:</t>
  </si>
  <si>
    <r>
      <t>a</t>
    </r>
    <r>
      <rPr>
        <b/>
        <sz val="10"/>
        <color indexed="55"/>
        <rFont val="Arial"/>
        <family val="2"/>
      </rPr>
      <t>izq</t>
    </r>
    <r>
      <rPr>
        <b/>
        <sz val="10"/>
        <color indexed="55"/>
        <rFont val="GreekC"/>
        <family val="0"/>
      </rPr>
      <t>=</t>
    </r>
  </si>
  <si>
    <r>
      <t xml:space="preserve">Nota: Si no hay viga, </t>
    </r>
    <r>
      <rPr>
        <i/>
        <sz val="8"/>
        <color indexed="55"/>
        <rFont val="GreekC"/>
        <family val="0"/>
      </rPr>
      <t>a</t>
    </r>
    <r>
      <rPr>
        <i/>
        <sz val="8"/>
        <color indexed="55"/>
        <rFont val="Arial"/>
        <family val="0"/>
      </rPr>
      <t>= 0</t>
    </r>
  </si>
  <si>
    <r>
      <t>a</t>
    </r>
    <r>
      <rPr>
        <b/>
        <sz val="10"/>
        <color indexed="55"/>
        <rFont val="Arial"/>
        <family val="2"/>
      </rPr>
      <t>der</t>
    </r>
    <r>
      <rPr>
        <b/>
        <sz val="10"/>
        <color indexed="55"/>
        <rFont val="GreekC"/>
        <family val="0"/>
      </rPr>
      <t>=</t>
    </r>
  </si>
  <si>
    <r>
      <t>a</t>
    </r>
    <r>
      <rPr>
        <b/>
        <sz val="10"/>
        <color indexed="55"/>
        <rFont val="Arial"/>
        <family val="2"/>
      </rPr>
      <t>inf</t>
    </r>
    <r>
      <rPr>
        <b/>
        <sz val="10"/>
        <color indexed="55"/>
        <rFont val="GreekC"/>
        <family val="0"/>
      </rPr>
      <t>=</t>
    </r>
  </si>
  <si>
    <r>
      <t>a</t>
    </r>
    <r>
      <rPr>
        <b/>
        <sz val="10"/>
        <color indexed="55"/>
        <rFont val="Arial"/>
        <family val="2"/>
      </rPr>
      <t>sup</t>
    </r>
    <r>
      <rPr>
        <b/>
        <sz val="10"/>
        <color indexed="55"/>
        <rFont val="GreekC"/>
        <family val="0"/>
      </rPr>
      <t>=</t>
    </r>
  </si>
  <si>
    <t>Con h=</t>
  </si>
  <si>
    <t>CONFIRMACION 6:</t>
  </si>
  <si>
    <t>CONFIRMACION 5:</t>
  </si>
  <si>
    <t>CONFIRMACION 4:</t>
  </si>
  <si>
    <t>si P11 es igual a 0, es losa de borde</t>
  </si>
  <si>
    <t>si P11 es igual a 1, es losa continua</t>
  </si>
  <si>
    <t>S/CIRSOC:</t>
  </si>
  <si>
    <t>Li</t>
  </si>
  <si>
    <t>L201</t>
  </si>
  <si>
    <t>cm (con reglamentos anteriores)</t>
  </si>
  <si>
    <t>s/CIRSOC-ACI:</t>
  </si>
  <si>
    <t>Espesor total</t>
  </si>
  <si>
    <t>Sólo vale para losas y vigas de igual luz.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</si>
</sst>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6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0"/>
      <name val="GreekC"/>
      <family val="0"/>
    </font>
    <font>
      <sz val="9"/>
      <name val="Arial"/>
      <family val="2"/>
    </font>
    <font>
      <b/>
      <u val="single"/>
      <sz val="10"/>
      <name val="Arial"/>
      <family val="0"/>
    </font>
    <font>
      <b/>
      <u val="single"/>
      <sz val="10"/>
      <name val="GreekC"/>
      <family val="0"/>
    </font>
    <font>
      <i/>
      <sz val="10"/>
      <color indexed="40"/>
      <name val="Arial"/>
      <family val="2"/>
    </font>
    <font>
      <sz val="8"/>
      <name val="Arial"/>
      <family val="2"/>
    </font>
    <font>
      <i/>
      <sz val="8"/>
      <name val="Arial"/>
      <family val="0"/>
    </font>
    <font>
      <i/>
      <sz val="8"/>
      <name val="GreekC"/>
      <family val="0"/>
    </font>
    <font>
      <b/>
      <sz val="10"/>
      <color indexed="8"/>
      <name val="Arial"/>
      <family val="2"/>
    </font>
    <font>
      <sz val="10"/>
      <color indexed="8"/>
      <name val="GreekC"/>
      <family val="0"/>
    </font>
    <font>
      <sz val="10"/>
      <color indexed="8"/>
      <name val="Arial"/>
      <family val="2"/>
    </font>
    <font>
      <sz val="10"/>
      <name val="GreekC"/>
      <family val="0"/>
    </font>
    <font>
      <sz val="10"/>
      <color indexed="47"/>
      <name val="Arial"/>
      <family val="0"/>
    </font>
    <font>
      <sz val="10"/>
      <color indexed="47"/>
      <name val="GreekC"/>
      <family val="0"/>
    </font>
    <font>
      <b/>
      <sz val="10"/>
      <color indexed="4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45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0"/>
    </font>
    <font>
      <sz val="9"/>
      <color indexed="61"/>
      <name val="Arial"/>
      <family val="2"/>
    </font>
    <font>
      <sz val="8"/>
      <color indexed="61"/>
      <name val="Arial"/>
      <family val="2"/>
    </font>
    <font>
      <b/>
      <sz val="10"/>
      <color indexed="61"/>
      <name val="GreekC"/>
      <family val="0"/>
    </font>
    <font>
      <i/>
      <sz val="8"/>
      <color indexed="61"/>
      <name val="Arial"/>
      <family val="0"/>
    </font>
    <font>
      <i/>
      <sz val="8"/>
      <color indexed="61"/>
      <name val="GreekC"/>
      <family val="0"/>
    </font>
    <font>
      <i/>
      <sz val="10"/>
      <color indexed="61"/>
      <name val="Arial"/>
      <family val="2"/>
    </font>
    <font>
      <b/>
      <sz val="12"/>
      <color indexed="8"/>
      <name val="Arial"/>
      <family val="2"/>
    </font>
    <font>
      <i/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0"/>
    </font>
    <font>
      <sz val="9"/>
      <color indexed="54"/>
      <name val="Arial"/>
      <family val="2"/>
    </font>
    <font>
      <sz val="8"/>
      <color indexed="54"/>
      <name val="Arial"/>
      <family val="2"/>
    </font>
    <font>
      <b/>
      <sz val="10"/>
      <color indexed="54"/>
      <name val="GreekC"/>
      <family val="0"/>
    </font>
    <font>
      <i/>
      <sz val="8"/>
      <color indexed="54"/>
      <name val="Arial"/>
      <family val="0"/>
    </font>
    <font>
      <i/>
      <sz val="8"/>
      <color indexed="54"/>
      <name val="GreekC"/>
      <family val="0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55"/>
      <name val="GreekC"/>
      <family val="0"/>
    </font>
    <font>
      <i/>
      <sz val="8"/>
      <color indexed="55"/>
      <name val="Arial"/>
      <family val="0"/>
    </font>
    <font>
      <i/>
      <sz val="8"/>
      <color indexed="55"/>
      <name val="GreekC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2"/>
        <bgColor indexed="27"/>
      </patternFill>
    </fill>
    <fill>
      <patternFill patternType="darkGray">
        <fgColor indexed="9"/>
        <bgColor indexed="27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Dashed"/>
      <right style="medium"/>
      <top style="mediumDashed"/>
      <bottom style="mediumDashed"/>
    </border>
    <border>
      <left style="medium"/>
      <right style="mediumDashed"/>
      <top style="mediumDashed"/>
      <bottom style="medium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quotePrefix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" fontId="27" fillId="0" borderId="19" xfId="0" applyNumberFormat="1" applyFont="1" applyBorder="1" applyAlignment="1">
      <alignment/>
    </xf>
    <xf numFmtId="1" fontId="25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9" fillId="0" borderId="20" xfId="0" applyFont="1" applyBorder="1" applyAlignment="1">
      <alignment/>
    </xf>
    <xf numFmtId="0" fontId="25" fillId="0" borderId="20" xfId="0" applyFont="1" applyBorder="1" applyAlignment="1">
      <alignment/>
    </xf>
    <xf numFmtId="0" fontId="26" fillId="0" borderId="20" xfId="0" applyFont="1" applyBorder="1" applyAlignment="1">
      <alignment/>
    </xf>
    <xf numFmtId="0" fontId="31" fillId="0" borderId="19" xfId="0" applyFont="1" applyBorder="1" applyAlignment="1">
      <alignment/>
    </xf>
    <xf numFmtId="0" fontId="32" fillId="0" borderId="12" xfId="0" applyFont="1" applyBorder="1" applyAlignment="1">
      <alignment horizontal="right" vertical="center"/>
    </xf>
    <xf numFmtId="0" fontId="32" fillId="0" borderId="21" xfId="0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2" fontId="4" fillId="0" borderId="0" xfId="0" applyNumberFormat="1" applyFont="1" applyAlignment="1">
      <alignment/>
    </xf>
    <xf numFmtId="0" fontId="33" fillId="0" borderId="19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" fontId="37" fillId="0" borderId="19" xfId="0" applyNumberFormat="1" applyFont="1" applyBorder="1" applyAlignment="1">
      <alignment/>
    </xf>
    <xf numFmtId="1" fontId="35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2" fontId="34" fillId="0" borderId="11" xfId="0" applyNumberFormat="1" applyFont="1" applyBorder="1" applyAlignment="1">
      <alignment/>
    </xf>
    <xf numFmtId="0" fontId="39" fillId="0" borderId="20" xfId="0" applyFont="1" applyBorder="1" applyAlignment="1">
      <alignment/>
    </xf>
    <xf numFmtId="0" fontId="35" fillId="0" borderId="20" xfId="0" applyFont="1" applyBorder="1" applyAlignment="1">
      <alignment/>
    </xf>
    <xf numFmtId="0" fontId="36" fillId="0" borderId="20" xfId="0" applyFont="1" applyBorder="1" applyAlignment="1">
      <alignment/>
    </xf>
    <xf numFmtId="0" fontId="41" fillId="0" borderId="19" xfId="0" applyFont="1" applyBorder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1" fontId="44" fillId="0" borderId="19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2" fontId="42" fillId="0" borderId="11" xfId="0" applyNumberFormat="1" applyFont="1" applyBorder="1" applyAlignment="1">
      <alignment/>
    </xf>
    <xf numFmtId="0" fontId="46" fillId="0" borderId="20" xfId="0" applyFont="1" applyBorder="1" applyAlignment="1">
      <alignment/>
    </xf>
    <xf numFmtId="0" fontId="22" fillId="0" borderId="20" xfId="0" applyFont="1" applyBorder="1" applyAlignment="1">
      <alignment/>
    </xf>
    <xf numFmtId="0" fontId="43" fillId="0" borderId="20" xfId="0" applyFont="1" applyBorder="1" applyAlignment="1">
      <alignment/>
    </xf>
    <xf numFmtId="0" fontId="48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49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2" fillId="35" borderId="12" xfId="0" applyFont="1" applyFill="1" applyBorder="1" applyAlignment="1">
      <alignment horizontal="right" vertical="center"/>
    </xf>
    <xf numFmtId="0" fontId="32" fillId="35" borderId="21" xfId="0" applyFont="1" applyFill="1" applyBorder="1" applyAlignment="1">
      <alignment horizontal="right" vertical="center"/>
    </xf>
    <xf numFmtId="0" fontId="32" fillId="35" borderId="13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85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46</xdr:row>
      <xdr:rowOff>171450</xdr:rowOff>
    </xdr:from>
    <xdr:to>
      <xdr:col>0</xdr:col>
      <xdr:colOff>304800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79914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171450</xdr:rowOff>
    </xdr:from>
    <xdr:to>
      <xdr:col>5</xdr:col>
      <xdr:colOff>9525</xdr:colOff>
      <xdr:row>44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90600" y="7581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0</xdr:rowOff>
    </xdr:from>
    <xdr:to>
      <xdr:col>6</xdr:col>
      <xdr:colOff>9525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371475" y="74104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48</xdr:row>
      <xdr:rowOff>0</xdr:rowOff>
    </xdr:from>
    <xdr:to>
      <xdr:col>2</xdr:col>
      <xdr:colOff>381000</xdr:colOff>
      <xdr:row>52</xdr:row>
      <xdr:rowOff>9525</xdr:rowOff>
    </xdr:to>
    <xdr:sp>
      <xdr:nvSpPr>
        <xdr:cNvPr id="4" name="Line 4"/>
        <xdr:cNvSpPr>
          <a:spLocks/>
        </xdr:cNvSpPr>
      </xdr:nvSpPr>
      <xdr:spPr>
        <a:xfrm>
          <a:off x="1362075" y="82581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180975</xdr:rowOff>
    </xdr:from>
    <xdr:to>
      <xdr:col>0</xdr:col>
      <xdr:colOff>304800</xdr:colOff>
      <xdr:row>46</xdr:row>
      <xdr:rowOff>171450</xdr:rowOff>
    </xdr:to>
    <xdr:sp>
      <xdr:nvSpPr>
        <xdr:cNvPr id="5" name="Line 6"/>
        <xdr:cNvSpPr>
          <a:spLocks/>
        </xdr:cNvSpPr>
      </xdr:nvSpPr>
      <xdr:spPr>
        <a:xfrm flipV="1">
          <a:off x="304800" y="7791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161925</xdr:rowOff>
    </xdr:from>
    <xdr:to>
      <xdr:col>0</xdr:col>
      <xdr:colOff>304800</xdr:colOff>
      <xdr:row>65</xdr:row>
      <xdr:rowOff>0</xdr:rowOff>
    </xdr:to>
    <xdr:sp>
      <xdr:nvSpPr>
        <xdr:cNvPr id="6" name="Line 7"/>
        <xdr:cNvSpPr>
          <a:spLocks/>
        </xdr:cNvSpPr>
      </xdr:nvSpPr>
      <xdr:spPr>
        <a:xfrm>
          <a:off x="304800" y="10401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152400</xdr:rowOff>
    </xdr:from>
    <xdr:to>
      <xdr:col>5</xdr:col>
      <xdr:colOff>9525</xdr:colOff>
      <xdr:row>57</xdr:row>
      <xdr:rowOff>152400</xdr:rowOff>
    </xdr:to>
    <xdr:sp>
      <xdr:nvSpPr>
        <xdr:cNvPr id="7" name="Line 8"/>
        <xdr:cNvSpPr>
          <a:spLocks/>
        </xdr:cNvSpPr>
      </xdr:nvSpPr>
      <xdr:spPr>
        <a:xfrm>
          <a:off x="990600" y="10058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57</xdr:row>
      <xdr:rowOff>0</xdr:rowOff>
    </xdr:from>
    <xdr:to>
      <xdr:col>6</xdr:col>
      <xdr:colOff>9525</xdr:colOff>
      <xdr:row>57</xdr:row>
      <xdr:rowOff>0</xdr:rowOff>
    </xdr:to>
    <xdr:sp>
      <xdr:nvSpPr>
        <xdr:cNvPr id="8" name="Line 9"/>
        <xdr:cNvSpPr>
          <a:spLocks/>
        </xdr:cNvSpPr>
      </xdr:nvSpPr>
      <xdr:spPr>
        <a:xfrm>
          <a:off x="371475" y="99060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61</xdr:row>
      <xdr:rowOff>0</xdr:rowOff>
    </xdr:from>
    <xdr:to>
      <xdr:col>2</xdr:col>
      <xdr:colOff>381000</xdr:colOff>
      <xdr:row>65</xdr:row>
      <xdr:rowOff>9525</xdr:rowOff>
    </xdr:to>
    <xdr:sp>
      <xdr:nvSpPr>
        <xdr:cNvPr id="9" name="Line 10"/>
        <xdr:cNvSpPr>
          <a:spLocks/>
        </xdr:cNvSpPr>
      </xdr:nvSpPr>
      <xdr:spPr>
        <a:xfrm>
          <a:off x="1362075" y="105822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161925</xdr:rowOff>
    </xdr:from>
    <xdr:to>
      <xdr:col>0</xdr:col>
      <xdr:colOff>304800</xdr:colOff>
      <xdr:row>59</xdr:row>
      <xdr:rowOff>161925</xdr:rowOff>
    </xdr:to>
    <xdr:sp>
      <xdr:nvSpPr>
        <xdr:cNvPr id="10" name="Line 11"/>
        <xdr:cNvSpPr>
          <a:spLocks/>
        </xdr:cNvSpPr>
      </xdr:nvSpPr>
      <xdr:spPr>
        <a:xfrm flipV="1">
          <a:off x="304800" y="10229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161925</xdr:rowOff>
    </xdr:from>
    <xdr:to>
      <xdr:col>0</xdr:col>
      <xdr:colOff>314325</xdr:colOff>
      <xdr:row>78</xdr:row>
      <xdr:rowOff>0</xdr:rowOff>
    </xdr:to>
    <xdr:sp>
      <xdr:nvSpPr>
        <xdr:cNvPr id="11" name="Line 12"/>
        <xdr:cNvSpPr>
          <a:spLocks/>
        </xdr:cNvSpPr>
      </xdr:nvSpPr>
      <xdr:spPr>
        <a:xfrm>
          <a:off x="314325" y="12687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152400</xdr:rowOff>
    </xdr:from>
    <xdr:to>
      <xdr:col>5</xdr:col>
      <xdr:colOff>9525</xdr:colOff>
      <xdr:row>70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990600" y="12344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70</xdr:row>
      <xdr:rowOff>0</xdr:rowOff>
    </xdr:from>
    <xdr:to>
      <xdr:col>6</xdr:col>
      <xdr:colOff>9525</xdr:colOff>
      <xdr:row>70</xdr:row>
      <xdr:rowOff>0</xdr:rowOff>
    </xdr:to>
    <xdr:sp>
      <xdr:nvSpPr>
        <xdr:cNvPr id="13" name="Line 14"/>
        <xdr:cNvSpPr>
          <a:spLocks/>
        </xdr:cNvSpPr>
      </xdr:nvSpPr>
      <xdr:spPr>
        <a:xfrm>
          <a:off x="371475" y="121920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74</xdr:row>
      <xdr:rowOff>0</xdr:rowOff>
    </xdr:from>
    <xdr:to>
      <xdr:col>2</xdr:col>
      <xdr:colOff>381000</xdr:colOff>
      <xdr:row>78</xdr:row>
      <xdr:rowOff>9525</xdr:rowOff>
    </xdr:to>
    <xdr:sp>
      <xdr:nvSpPr>
        <xdr:cNvPr id="14" name="Line 15"/>
        <xdr:cNvSpPr>
          <a:spLocks/>
        </xdr:cNvSpPr>
      </xdr:nvSpPr>
      <xdr:spPr>
        <a:xfrm>
          <a:off x="1362075" y="128682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161925</xdr:rowOff>
    </xdr:from>
    <xdr:to>
      <xdr:col>0</xdr:col>
      <xdr:colOff>314325</xdr:colOff>
      <xdr:row>72</xdr:row>
      <xdr:rowOff>161925</xdr:rowOff>
    </xdr:to>
    <xdr:sp>
      <xdr:nvSpPr>
        <xdr:cNvPr id="15" name="Line 16"/>
        <xdr:cNvSpPr>
          <a:spLocks/>
        </xdr:cNvSpPr>
      </xdr:nvSpPr>
      <xdr:spPr>
        <a:xfrm flipV="1">
          <a:off x="314325" y="12515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161925</xdr:rowOff>
    </xdr:from>
    <xdr:to>
      <xdr:col>0</xdr:col>
      <xdr:colOff>314325</xdr:colOff>
      <xdr:row>91</xdr:row>
      <xdr:rowOff>0</xdr:rowOff>
    </xdr:to>
    <xdr:sp>
      <xdr:nvSpPr>
        <xdr:cNvPr id="16" name="Line 17"/>
        <xdr:cNvSpPr>
          <a:spLocks/>
        </xdr:cNvSpPr>
      </xdr:nvSpPr>
      <xdr:spPr>
        <a:xfrm>
          <a:off x="314325" y="14973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83</xdr:row>
      <xdr:rowOff>152400</xdr:rowOff>
    </xdr:from>
    <xdr:to>
      <xdr:col>5</xdr:col>
      <xdr:colOff>9525</xdr:colOff>
      <xdr:row>83</xdr:row>
      <xdr:rowOff>152400</xdr:rowOff>
    </xdr:to>
    <xdr:sp>
      <xdr:nvSpPr>
        <xdr:cNvPr id="17" name="Line 18"/>
        <xdr:cNvSpPr>
          <a:spLocks/>
        </xdr:cNvSpPr>
      </xdr:nvSpPr>
      <xdr:spPr>
        <a:xfrm>
          <a:off x="990600" y="14630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18" name="Line 19"/>
        <xdr:cNvSpPr>
          <a:spLocks/>
        </xdr:cNvSpPr>
      </xdr:nvSpPr>
      <xdr:spPr>
        <a:xfrm>
          <a:off x="371475" y="144780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87</xdr:row>
      <xdr:rowOff>0</xdr:rowOff>
    </xdr:from>
    <xdr:to>
      <xdr:col>2</xdr:col>
      <xdr:colOff>381000</xdr:colOff>
      <xdr:row>91</xdr:row>
      <xdr:rowOff>9525</xdr:rowOff>
    </xdr:to>
    <xdr:sp>
      <xdr:nvSpPr>
        <xdr:cNvPr id="19" name="Line 20"/>
        <xdr:cNvSpPr>
          <a:spLocks/>
        </xdr:cNvSpPr>
      </xdr:nvSpPr>
      <xdr:spPr>
        <a:xfrm>
          <a:off x="1362075" y="151542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161925</xdr:rowOff>
    </xdr:from>
    <xdr:to>
      <xdr:col>0</xdr:col>
      <xdr:colOff>314325</xdr:colOff>
      <xdr:row>85</xdr:row>
      <xdr:rowOff>161925</xdr:rowOff>
    </xdr:to>
    <xdr:sp>
      <xdr:nvSpPr>
        <xdr:cNvPr id="20" name="Line 21"/>
        <xdr:cNvSpPr>
          <a:spLocks/>
        </xdr:cNvSpPr>
      </xdr:nvSpPr>
      <xdr:spPr>
        <a:xfrm flipV="1">
          <a:off x="314325" y="14801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99</xdr:row>
      <xdr:rowOff>180975</xdr:rowOff>
    </xdr:from>
    <xdr:to>
      <xdr:col>0</xdr:col>
      <xdr:colOff>304800</xdr:colOff>
      <xdr:row>105</xdr:row>
      <xdr:rowOff>0</xdr:rowOff>
    </xdr:to>
    <xdr:sp>
      <xdr:nvSpPr>
        <xdr:cNvPr id="21" name="Line 22"/>
        <xdr:cNvSpPr>
          <a:spLocks/>
        </xdr:cNvSpPr>
      </xdr:nvSpPr>
      <xdr:spPr>
        <a:xfrm>
          <a:off x="304800" y="17526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97</xdr:row>
      <xdr:rowOff>152400</xdr:rowOff>
    </xdr:from>
    <xdr:to>
      <xdr:col>5</xdr:col>
      <xdr:colOff>9525</xdr:colOff>
      <xdr:row>97</xdr:row>
      <xdr:rowOff>152400</xdr:rowOff>
    </xdr:to>
    <xdr:sp>
      <xdr:nvSpPr>
        <xdr:cNvPr id="22" name="Line 23"/>
        <xdr:cNvSpPr>
          <a:spLocks/>
        </xdr:cNvSpPr>
      </xdr:nvSpPr>
      <xdr:spPr>
        <a:xfrm>
          <a:off x="990600" y="171259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0</xdr:rowOff>
    </xdr:from>
    <xdr:to>
      <xdr:col>6</xdr:col>
      <xdr:colOff>9525</xdr:colOff>
      <xdr:row>97</xdr:row>
      <xdr:rowOff>0</xdr:rowOff>
    </xdr:to>
    <xdr:sp>
      <xdr:nvSpPr>
        <xdr:cNvPr id="23" name="Line 24"/>
        <xdr:cNvSpPr>
          <a:spLocks/>
        </xdr:cNvSpPr>
      </xdr:nvSpPr>
      <xdr:spPr>
        <a:xfrm>
          <a:off x="371475" y="169735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101</xdr:row>
      <xdr:rowOff>0</xdr:rowOff>
    </xdr:from>
    <xdr:to>
      <xdr:col>2</xdr:col>
      <xdr:colOff>381000</xdr:colOff>
      <xdr:row>105</xdr:row>
      <xdr:rowOff>9525</xdr:rowOff>
    </xdr:to>
    <xdr:sp>
      <xdr:nvSpPr>
        <xdr:cNvPr id="24" name="Line 25"/>
        <xdr:cNvSpPr>
          <a:spLocks/>
        </xdr:cNvSpPr>
      </xdr:nvSpPr>
      <xdr:spPr>
        <a:xfrm>
          <a:off x="1362075" y="177736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98</xdr:row>
      <xdr:rowOff>180975</xdr:rowOff>
    </xdr:from>
    <xdr:to>
      <xdr:col>0</xdr:col>
      <xdr:colOff>304800</xdr:colOff>
      <xdr:row>99</xdr:row>
      <xdr:rowOff>180975</xdr:rowOff>
    </xdr:to>
    <xdr:sp>
      <xdr:nvSpPr>
        <xdr:cNvPr id="25" name="Line 26"/>
        <xdr:cNvSpPr>
          <a:spLocks/>
        </xdr:cNvSpPr>
      </xdr:nvSpPr>
      <xdr:spPr>
        <a:xfrm flipV="1">
          <a:off x="304800" y="17316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112</xdr:row>
      <xdr:rowOff>161925</xdr:rowOff>
    </xdr:from>
    <xdr:to>
      <xdr:col>0</xdr:col>
      <xdr:colOff>304800</xdr:colOff>
      <xdr:row>118</xdr:row>
      <xdr:rowOff>0</xdr:rowOff>
    </xdr:to>
    <xdr:sp>
      <xdr:nvSpPr>
        <xdr:cNvPr id="26" name="Line 27"/>
        <xdr:cNvSpPr>
          <a:spLocks/>
        </xdr:cNvSpPr>
      </xdr:nvSpPr>
      <xdr:spPr>
        <a:xfrm>
          <a:off x="304800" y="198691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110</xdr:row>
      <xdr:rowOff>152400</xdr:rowOff>
    </xdr:from>
    <xdr:to>
      <xdr:col>5</xdr:col>
      <xdr:colOff>9525</xdr:colOff>
      <xdr:row>110</xdr:row>
      <xdr:rowOff>152400</xdr:rowOff>
    </xdr:to>
    <xdr:sp>
      <xdr:nvSpPr>
        <xdr:cNvPr id="27" name="Line 28"/>
        <xdr:cNvSpPr>
          <a:spLocks/>
        </xdr:cNvSpPr>
      </xdr:nvSpPr>
      <xdr:spPr>
        <a:xfrm>
          <a:off x="990600" y="195262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110</xdr:row>
      <xdr:rowOff>0</xdr:rowOff>
    </xdr:from>
    <xdr:to>
      <xdr:col>6</xdr:col>
      <xdr:colOff>9525</xdr:colOff>
      <xdr:row>110</xdr:row>
      <xdr:rowOff>0</xdr:rowOff>
    </xdr:to>
    <xdr:sp>
      <xdr:nvSpPr>
        <xdr:cNvPr id="28" name="Line 29"/>
        <xdr:cNvSpPr>
          <a:spLocks/>
        </xdr:cNvSpPr>
      </xdr:nvSpPr>
      <xdr:spPr>
        <a:xfrm>
          <a:off x="371475" y="193738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114</xdr:row>
      <xdr:rowOff>0</xdr:rowOff>
    </xdr:from>
    <xdr:to>
      <xdr:col>2</xdr:col>
      <xdr:colOff>381000</xdr:colOff>
      <xdr:row>118</xdr:row>
      <xdr:rowOff>9525</xdr:rowOff>
    </xdr:to>
    <xdr:sp>
      <xdr:nvSpPr>
        <xdr:cNvPr id="29" name="Line 30"/>
        <xdr:cNvSpPr>
          <a:spLocks/>
        </xdr:cNvSpPr>
      </xdr:nvSpPr>
      <xdr:spPr>
        <a:xfrm>
          <a:off x="1362075" y="200501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111</xdr:row>
      <xdr:rowOff>161925</xdr:rowOff>
    </xdr:from>
    <xdr:to>
      <xdr:col>0</xdr:col>
      <xdr:colOff>304800</xdr:colOff>
      <xdr:row>112</xdr:row>
      <xdr:rowOff>161925</xdr:rowOff>
    </xdr:to>
    <xdr:sp>
      <xdr:nvSpPr>
        <xdr:cNvPr id="30" name="Line 31"/>
        <xdr:cNvSpPr>
          <a:spLocks/>
        </xdr:cNvSpPr>
      </xdr:nvSpPr>
      <xdr:spPr>
        <a:xfrm flipV="1">
          <a:off x="304800" y="19697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125</xdr:row>
      <xdr:rowOff>161925</xdr:rowOff>
    </xdr:from>
    <xdr:to>
      <xdr:col>0</xdr:col>
      <xdr:colOff>314325</xdr:colOff>
      <xdr:row>131</xdr:row>
      <xdr:rowOff>0</xdr:rowOff>
    </xdr:to>
    <xdr:sp>
      <xdr:nvSpPr>
        <xdr:cNvPr id="31" name="Line 32"/>
        <xdr:cNvSpPr>
          <a:spLocks/>
        </xdr:cNvSpPr>
      </xdr:nvSpPr>
      <xdr:spPr>
        <a:xfrm>
          <a:off x="314325" y="221075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123</xdr:row>
      <xdr:rowOff>152400</xdr:rowOff>
    </xdr:from>
    <xdr:to>
      <xdr:col>5</xdr:col>
      <xdr:colOff>9525</xdr:colOff>
      <xdr:row>123</xdr:row>
      <xdr:rowOff>152400</xdr:rowOff>
    </xdr:to>
    <xdr:sp>
      <xdr:nvSpPr>
        <xdr:cNvPr id="32" name="Line 33"/>
        <xdr:cNvSpPr>
          <a:spLocks/>
        </xdr:cNvSpPr>
      </xdr:nvSpPr>
      <xdr:spPr>
        <a:xfrm>
          <a:off x="990600" y="217646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123</xdr:row>
      <xdr:rowOff>0</xdr:rowOff>
    </xdr:from>
    <xdr:to>
      <xdr:col>6</xdr:col>
      <xdr:colOff>9525</xdr:colOff>
      <xdr:row>123</xdr:row>
      <xdr:rowOff>0</xdr:rowOff>
    </xdr:to>
    <xdr:sp>
      <xdr:nvSpPr>
        <xdr:cNvPr id="33" name="Line 34"/>
        <xdr:cNvSpPr>
          <a:spLocks/>
        </xdr:cNvSpPr>
      </xdr:nvSpPr>
      <xdr:spPr>
        <a:xfrm>
          <a:off x="371475" y="216122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127</xdr:row>
      <xdr:rowOff>0</xdr:rowOff>
    </xdr:from>
    <xdr:to>
      <xdr:col>2</xdr:col>
      <xdr:colOff>381000</xdr:colOff>
      <xdr:row>131</xdr:row>
      <xdr:rowOff>9525</xdr:rowOff>
    </xdr:to>
    <xdr:sp>
      <xdr:nvSpPr>
        <xdr:cNvPr id="34" name="Line 35"/>
        <xdr:cNvSpPr>
          <a:spLocks/>
        </xdr:cNvSpPr>
      </xdr:nvSpPr>
      <xdr:spPr>
        <a:xfrm>
          <a:off x="1362075" y="22288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124</xdr:row>
      <xdr:rowOff>161925</xdr:rowOff>
    </xdr:from>
    <xdr:to>
      <xdr:col>0</xdr:col>
      <xdr:colOff>314325</xdr:colOff>
      <xdr:row>125</xdr:row>
      <xdr:rowOff>161925</xdr:rowOff>
    </xdr:to>
    <xdr:sp>
      <xdr:nvSpPr>
        <xdr:cNvPr id="35" name="Line 36"/>
        <xdr:cNvSpPr>
          <a:spLocks/>
        </xdr:cNvSpPr>
      </xdr:nvSpPr>
      <xdr:spPr>
        <a:xfrm flipV="1">
          <a:off x="314325" y="21936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138</xdr:row>
      <xdr:rowOff>161925</xdr:rowOff>
    </xdr:from>
    <xdr:to>
      <xdr:col>0</xdr:col>
      <xdr:colOff>314325</xdr:colOff>
      <xdr:row>144</xdr:row>
      <xdr:rowOff>0</xdr:rowOff>
    </xdr:to>
    <xdr:sp>
      <xdr:nvSpPr>
        <xdr:cNvPr id="36" name="Line 37"/>
        <xdr:cNvSpPr>
          <a:spLocks/>
        </xdr:cNvSpPr>
      </xdr:nvSpPr>
      <xdr:spPr>
        <a:xfrm>
          <a:off x="314325" y="243459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136</xdr:row>
      <xdr:rowOff>152400</xdr:rowOff>
    </xdr:from>
    <xdr:to>
      <xdr:col>5</xdr:col>
      <xdr:colOff>9525</xdr:colOff>
      <xdr:row>136</xdr:row>
      <xdr:rowOff>152400</xdr:rowOff>
    </xdr:to>
    <xdr:sp>
      <xdr:nvSpPr>
        <xdr:cNvPr id="37" name="Line 38"/>
        <xdr:cNvSpPr>
          <a:spLocks/>
        </xdr:cNvSpPr>
      </xdr:nvSpPr>
      <xdr:spPr>
        <a:xfrm>
          <a:off x="990600" y="240030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136</xdr:row>
      <xdr:rowOff>0</xdr:rowOff>
    </xdr:from>
    <xdr:to>
      <xdr:col>6</xdr:col>
      <xdr:colOff>9525</xdr:colOff>
      <xdr:row>136</xdr:row>
      <xdr:rowOff>0</xdr:rowOff>
    </xdr:to>
    <xdr:sp>
      <xdr:nvSpPr>
        <xdr:cNvPr id="38" name="Line 39"/>
        <xdr:cNvSpPr>
          <a:spLocks/>
        </xdr:cNvSpPr>
      </xdr:nvSpPr>
      <xdr:spPr>
        <a:xfrm>
          <a:off x="371475" y="238506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140</xdr:row>
      <xdr:rowOff>0</xdr:rowOff>
    </xdr:from>
    <xdr:to>
      <xdr:col>2</xdr:col>
      <xdr:colOff>381000</xdr:colOff>
      <xdr:row>144</xdr:row>
      <xdr:rowOff>9525</xdr:rowOff>
    </xdr:to>
    <xdr:sp>
      <xdr:nvSpPr>
        <xdr:cNvPr id="39" name="Line 40"/>
        <xdr:cNvSpPr>
          <a:spLocks/>
        </xdr:cNvSpPr>
      </xdr:nvSpPr>
      <xdr:spPr>
        <a:xfrm>
          <a:off x="1362075" y="245268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137</xdr:row>
      <xdr:rowOff>161925</xdr:rowOff>
    </xdr:from>
    <xdr:to>
      <xdr:col>0</xdr:col>
      <xdr:colOff>314325</xdr:colOff>
      <xdr:row>138</xdr:row>
      <xdr:rowOff>161925</xdr:rowOff>
    </xdr:to>
    <xdr:sp>
      <xdr:nvSpPr>
        <xdr:cNvPr id="40" name="Line 41"/>
        <xdr:cNvSpPr>
          <a:spLocks/>
        </xdr:cNvSpPr>
      </xdr:nvSpPr>
      <xdr:spPr>
        <a:xfrm flipV="1">
          <a:off x="314325" y="24174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152</xdr:row>
      <xdr:rowOff>180975</xdr:rowOff>
    </xdr:from>
    <xdr:to>
      <xdr:col>0</xdr:col>
      <xdr:colOff>304800</xdr:colOff>
      <xdr:row>158</xdr:row>
      <xdr:rowOff>0</xdr:rowOff>
    </xdr:to>
    <xdr:sp>
      <xdr:nvSpPr>
        <xdr:cNvPr id="41" name="Line 42"/>
        <xdr:cNvSpPr>
          <a:spLocks/>
        </xdr:cNvSpPr>
      </xdr:nvSpPr>
      <xdr:spPr>
        <a:xfrm>
          <a:off x="304800" y="268509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150</xdr:row>
      <xdr:rowOff>152400</xdr:rowOff>
    </xdr:from>
    <xdr:to>
      <xdr:col>5</xdr:col>
      <xdr:colOff>9525</xdr:colOff>
      <xdr:row>150</xdr:row>
      <xdr:rowOff>152400</xdr:rowOff>
    </xdr:to>
    <xdr:sp>
      <xdr:nvSpPr>
        <xdr:cNvPr id="42" name="Line 43"/>
        <xdr:cNvSpPr>
          <a:spLocks/>
        </xdr:cNvSpPr>
      </xdr:nvSpPr>
      <xdr:spPr>
        <a:xfrm>
          <a:off x="990600" y="264509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150</xdr:row>
      <xdr:rowOff>0</xdr:rowOff>
    </xdr:from>
    <xdr:to>
      <xdr:col>6</xdr:col>
      <xdr:colOff>9525</xdr:colOff>
      <xdr:row>150</xdr:row>
      <xdr:rowOff>0</xdr:rowOff>
    </xdr:to>
    <xdr:sp>
      <xdr:nvSpPr>
        <xdr:cNvPr id="43" name="Line 44"/>
        <xdr:cNvSpPr>
          <a:spLocks/>
        </xdr:cNvSpPr>
      </xdr:nvSpPr>
      <xdr:spPr>
        <a:xfrm>
          <a:off x="371475" y="262985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154</xdr:row>
      <xdr:rowOff>0</xdr:rowOff>
    </xdr:from>
    <xdr:to>
      <xdr:col>2</xdr:col>
      <xdr:colOff>381000</xdr:colOff>
      <xdr:row>158</xdr:row>
      <xdr:rowOff>9525</xdr:rowOff>
    </xdr:to>
    <xdr:sp>
      <xdr:nvSpPr>
        <xdr:cNvPr id="44" name="Line 45"/>
        <xdr:cNvSpPr>
          <a:spLocks/>
        </xdr:cNvSpPr>
      </xdr:nvSpPr>
      <xdr:spPr>
        <a:xfrm>
          <a:off x="1362075" y="270986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151</xdr:row>
      <xdr:rowOff>180975</xdr:rowOff>
    </xdr:from>
    <xdr:to>
      <xdr:col>0</xdr:col>
      <xdr:colOff>304800</xdr:colOff>
      <xdr:row>152</xdr:row>
      <xdr:rowOff>180975</xdr:rowOff>
    </xdr:to>
    <xdr:sp>
      <xdr:nvSpPr>
        <xdr:cNvPr id="45" name="Line 46"/>
        <xdr:cNvSpPr>
          <a:spLocks/>
        </xdr:cNvSpPr>
      </xdr:nvSpPr>
      <xdr:spPr>
        <a:xfrm flipV="1">
          <a:off x="304800" y="26641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165</xdr:row>
      <xdr:rowOff>161925</xdr:rowOff>
    </xdr:from>
    <xdr:to>
      <xdr:col>0</xdr:col>
      <xdr:colOff>304800</xdr:colOff>
      <xdr:row>171</xdr:row>
      <xdr:rowOff>0</xdr:rowOff>
    </xdr:to>
    <xdr:sp>
      <xdr:nvSpPr>
        <xdr:cNvPr id="46" name="Line 47"/>
        <xdr:cNvSpPr>
          <a:spLocks/>
        </xdr:cNvSpPr>
      </xdr:nvSpPr>
      <xdr:spPr>
        <a:xfrm>
          <a:off x="304800" y="291941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163</xdr:row>
      <xdr:rowOff>152400</xdr:rowOff>
    </xdr:from>
    <xdr:to>
      <xdr:col>5</xdr:col>
      <xdr:colOff>9525</xdr:colOff>
      <xdr:row>163</xdr:row>
      <xdr:rowOff>152400</xdr:rowOff>
    </xdr:to>
    <xdr:sp>
      <xdr:nvSpPr>
        <xdr:cNvPr id="47" name="Line 48"/>
        <xdr:cNvSpPr>
          <a:spLocks/>
        </xdr:cNvSpPr>
      </xdr:nvSpPr>
      <xdr:spPr>
        <a:xfrm>
          <a:off x="990600" y="288512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163</xdr:row>
      <xdr:rowOff>0</xdr:rowOff>
    </xdr:from>
    <xdr:to>
      <xdr:col>6</xdr:col>
      <xdr:colOff>9525</xdr:colOff>
      <xdr:row>163</xdr:row>
      <xdr:rowOff>0</xdr:rowOff>
    </xdr:to>
    <xdr:sp>
      <xdr:nvSpPr>
        <xdr:cNvPr id="48" name="Line 49"/>
        <xdr:cNvSpPr>
          <a:spLocks/>
        </xdr:cNvSpPr>
      </xdr:nvSpPr>
      <xdr:spPr>
        <a:xfrm>
          <a:off x="371475" y="286988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167</xdr:row>
      <xdr:rowOff>0</xdr:rowOff>
    </xdr:from>
    <xdr:to>
      <xdr:col>2</xdr:col>
      <xdr:colOff>381000</xdr:colOff>
      <xdr:row>171</xdr:row>
      <xdr:rowOff>9525</xdr:rowOff>
    </xdr:to>
    <xdr:sp>
      <xdr:nvSpPr>
        <xdr:cNvPr id="49" name="Line 50"/>
        <xdr:cNvSpPr>
          <a:spLocks/>
        </xdr:cNvSpPr>
      </xdr:nvSpPr>
      <xdr:spPr>
        <a:xfrm>
          <a:off x="1362075" y="293751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164</xdr:row>
      <xdr:rowOff>161925</xdr:rowOff>
    </xdr:from>
    <xdr:to>
      <xdr:col>0</xdr:col>
      <xdr:colOff>304800</xdr:colOff>
      <xdr:row>165</xdr:row>
      <xdr:rowOff>161925</xdr:rowOff>
    </xdr:to>
    <xdr:sp>
      <xdr:nvSpPr>
        <xdr:cNvPr id="50" name="Line 51"/>
        <xdr:cNvSpPr>
          <a:spLocks/>
        </xdr:cNvSpPr>
      </xdr:nvSpPr>
      <xdr:spPr>
        <a:xfrm flipV="1">
          <a:off x="304800" y="29022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178</xdr:row>
      <xdr:rowOff>161925</xdr:rowOff>
    </xdr:from>
    <xdr:to>
      <xdr:col>0</xdr:col>
      <xdr:colOff>314325</xdr:colOff>
      <xdr:row>184</xdr:row>
      <xdr:rowOff>0</xdr:rowOff>
    </xdr:to>
    <xdr:sp>
      <xdr:nvSpPr>
        <xdr:cNvPr id="51" name="Line 52"/>
        <xdr:cNvSpPr>
          <a:spLocks/>
        </xdr:cNvSpPr>
      </xdr:nvSpPr>
      <xdr:spPr>
        <a:xfrm>
          <a:off x="314325" y="31432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176</xdr:row>
      <xdr:rowOff>152400</xdr:rowOff>
    </xdr:from>
    <xdr:to>
      <xdr:col>5</xdr:col>
      <xdr:colOff>9525</xdr:colOff>
      <xdr:row>176</xdr:row>
      <xdr:rowOff>152400</xdr:rowOff>
    </xdr:to>
    <xdr:sp>
      <xdr:nvSpPr>
        <xdr:cNvPr id="52" name="Line 53"/>
        <xdr:cNvSpPr>
          <a:spLocks/>
        </xdr:cNvSpPr>
      </xdr:nvSpPr>
      <xdr:spPr>
        <a:xfrm>
          <a:off x="990600" y="310896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176</xdr:row>
      <xdr:rowOff>0</xdr:rowOff>
    </xdr:from>
    <xdr:to>
      <xdr:col>6</xdr:col>
      <xdr:colOff>9525</xdr:colOff>
      <xdr:row>176</xdr:row>
      <xdr:rowOff>0</xdr:rowOff>
    </xdr:to>
    <xdr:sp>
      <xdr:nvSpPr>
        <xdr:cNvPr id="53" name="Line 54"/>
        <xdr:cNvSpPr>
          <a:spLocks/>
        </xdr:cNvSpPr>
      </xdr:nvSpPr>
      <xdr:spPr>
        <a:xfrm>
          <a:off x="371475" y="309372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180</xdr:row>
      <xdr:rowOff>0</xdr:rowOff>
    </xdr:from>
    <xdr:to>
      <xdr:col>2</xdr:col>
      <xdr:colOff>381000</xdr:colOff>
      <xdr:row>184</xdr:row>
      <xdr:rowOff>9525</xdr:rowOff>
    </xdr:to>
    <xdr:sp>
      <xdr:nvSpPr>
        <xdr:cNvPr id="54" name="Line 55"/>
        <xdr:cNvSpPr>
          <a:spLocks/>
        </xdr:cNvSpPr>
      </xdr:nvSpPr>
      <xdr:spPr>
        <a:xfrm>
          <a:off x="1362075" y="316134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177</xdr:row>
      <xdr:rowOff>161925</xdr:rowOff>
    </xdr:from>
    <xdr:to>
      <xdr:col>0</xdr:col>
      <xdr:colOff>314325</xdr:colOff>
      <xdr:row>178</xdr:row>
      <xdr:rowOff>161925</xdr:rowOff>
    </xdr:to>
    <xdr:sp>
      <xdr:nvSpPr>
        <xdr:cNvPr id="55" name="Line 56"/>
        <xdr:cNvSpPr>
          <a:spLocks/>
        </xdr:cNvSpPr>
      </xdr:nvSpPr>
      <xdr:spPr>
        <a:xfrm flipV="1">
          <a:off x="314325" y="31261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191</xdr:row>
      <xdr:rowOff>161925</xdr:rowOff>
    </xdr:from>
    <xdr:to>
      <xdr:col>0</xdr:col>
      <xdr:colOff>314325</xdr:colOff>
      <xdr:row>197</xdr:row>
      <xdr:rowOff>0</xdr:rowOff>
    </xdr:to>
    <xdr:sp>
      <xdr:nvSpPr>
        <xdr:cNvPr id="56" name="Line 57"/>
        <xdr:cNvSpPr>
          <a:spLocks/>
        </xdr:cNvSpPr>
      </xdr:nvSpPr>
      <xdr:spPr>
        <a:xfrm>
          <a:off x="314325" y="33670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189</xdr:row>
      <xdr:rowOff>152400</xdr:rowOff>
    </xdr:from>
    <xdr:to>
      <xdr:col>5</xdr:col>
      <xdr:colOff>9525</xdr:colOff>
      <xdr:row>189</xdr:row>
      <xdr:rowOff>152400</xdr:rowOff>
    </xdr:to>
    <xdr:sp>
      <xdr:nvSpPr>
        <xdr:cNvPr id="57" name="Line 58"/>
        <xdr:cNvSpPr>
          <a:spLocks/>
        </xdr:cNvSpPr>
      </xdr:nvSpPr>
      <xdr:spPr>
        <a:xfrm>
          <a:off x="990600" y="333279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189</xdr:row>
      <xdr:rowOff>0</xdr:rowOff>
    </xdr:from>
    <xdr:to>
      <xdr:col>6</xdr:col>
      <xdr:colOff>9525</xdr:colOff>
      <xdr:row>189</xdr:row>
      <xdr:rowOff>0</xdr:rowOff>
    </xdr:to>
    <xdr:sp>
      <xdr:nvSpPr>
        <xdr:cNvPr id="58" name="Line 59"/>
        <xdr:cNvSpPr>
          <a:spLocks/>
        </xdr:cNvSpPr>
      </xdr:nvSpPr>
      <xdr:spPr>
        <a:xfrm>
          <a:off x="371475" y="331755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193</xdr:row>
      <xdr:rowOff>0</xdr:rowOff>
    </xdr:from>
    <xdr:to>
      <xdr:col>2</xdr:col>
      <xdr:colOff>381000</xdr:colOff>
      <xdr:row>197</xdr:row>
      <xdr:rowOff>9525</xdr:rowOff>
    </xdr:to>
    <xdr:sp>
      <xdr:nvSpPr>
        <xdr:cNvPr id="59" name="Line 60"/>
        <xdr:cNvSpPr>
          <a:spLocks/>
        </xdr:cNvSpPr>
      </xdr:nvSpPr>
      <xdr:spPr>
        <a:xfrm>
          <a:off x="1362075" y="338518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190</xdr:row>
      <xdr:rowOff>161925</xdr:rowOff>
    </xdr:from>
    <xdr:to>
      <xdr:col>0</xdr:col>
      <xdr:colOff>314325</xdr:colOff>
      <xdr:row>191</xdr:row>
      <xdr:rowOff>161925</xdr:rowOff>
    </xdr:to>
    <xdr:sp>
      <xdr:nvSpPr>
        <xdr:cNvPr id="60" name="Line 61"/>
        <xdr:cNvSpPr>
          <a:spLocks/>
        </xdr:cNvSpPr>
      </xdr:nvSpPr>
      <xdr:spPr>
        <a:xfrm flipV="1">
          <a:off x="314325" y="33499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205</xdr:row>
      <xdr:rowOff>180975</xdr:rowOff>
    </xdr:from>
    <xdr:to>
      <xdr:col>0</xdr:col>
      <xdr:colOff>304800</xdr:colOff>
      <xdr:row>211</xdr:row>
      <xdr:rowOff>0</xdr:rowOff>
    </xdr:to>
    <xdr:sp>
      <xdr:nvSpPr>
        <xdr:cNvPr id="61" name="Line 62"/>
        <xdr:cNvSpPr>
          <a:spLocks/>
        </xdr:cNvSpPr>
      </xdr:nvSpPr>
      <xdr:spPr>
        <a:xfrm>
          <a:off x="304800" y="36175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203</xdr:row>
      <xdr:rowOff>152400</xdr:rowOff>
    </xdr:from>
    <xdr:to>
      <xdr:col>5</xdr:col>
      <xdr:colOff>9525</xdr:colOff>
      <xdr:row>203</xdr:row>
      <xdr:rowOff>152400</xdr:rowOff>
    </xdr:to>
    <xdr:sp>
      <xdr:nvSpPr>
        <xdr:cNvPr id="62" name="Line 63"/>
        <xdr:cNvSpPr>
          <a:spLocks/>
        </xdr:cNvSpPr>
      </xdr:nvSpPr>
      <xdr:spPr>
        <a:xfrm>
          <a:off x="990600" y="35775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203</xdr:row>
      <xdr:rowOff>0</xdr:rowOff>
    </xdr:from>
    <xdr:to>
      <xdr:col>6</xdr:col>
      <xdr:colOff>9525</xdr:colOff>
      <xdr:row>203</xdr:row>
      <xdr:rowOff>0</xdr:rowOff>
    </xdr:to>
    <xdr:sp>
      <xdr:nvSpPr>
        <xdr:cNvPr id="63" name="Line 64"/>
        <xdr:cNvSpPr>
          <a:spLocks/>
        </xdr:cNvSpPr>
      </xdr:nvSpPr>
      <xdr:spPr>
        <a:xfrm>
          <a:off x="371475" y="356235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207</xdr:row>
      <xdr:rowOff>0</xdr:rowOff>
    </xdr:from>
    <xdr:to>
      <xdr:col>2</xdr:col>
      <xdr:colOff>381000</xdr:colOff>
      <xdr:row>211</xdr:row>
      <xdr:rowOff>9525</xdr:rowOff>
    </xdr:to>
    <xdr:sp>
      <xdr:nvSpPr>
        <xdr:cNvPr id="64" name="Line 65"/>
        <xdr:cNvSpPr>
          <a:spLocks/>
        </xdr:cNvSpPr>
      </xdr:nvSpPr>
      <xdr:spPr>
        <a:xfrm>
          <a:off x="1362075" y="364236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204</xdr:row>
      <xdr:rowOff>180975</xdr:rowOff>
    </xdr:from>
    <xdr:to>
      <xdr:col>0</xdr:col>
      <xdr:colOff>304800</xdr:colOff>
      <xdr:row>205</xdr:row>
      <xdr:rowOff>180975</xdr:rowOff>
    </xdr:to>
    <xdr:sp>
      <xdr:nvSpPr>
        <xdr:cNvPr id="65" name="Line 66"/>
        <xdr:cNvSpPr>
          <a:spLocks/>
        </xdr:cNvSpPr>
      </xdr:nvSpPr>
      <xdr:spPr>
        <a:xfrm flipV="1">
          <a:off x="304800" y="35966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218</xdr:row>
      <xdr:rowOff>161925</xdr:rowOff>
    </xdr:from>
    <xdr:to>
      <xdr:col>0</xdr:col>
      <xdr:colOff>304800</xdr:colOff>
      <xdr:row>224</xdr:row>
      <xdr:rowOff>0</xdr:rowOff>
    </xdr:to>
    <xdr:sp>
      <xdr:nvSpPr>
        <xdr:cNvPr id="66" name="Line 67"/>
        <xdr:cNvSpPr>
          <a:spLocks/>
        </xdr:cNvSpPr>
      </xdr:nvSpPr>
      <xdr:spPr>
        <a:xfrm>
          <a:off x="304800" y="385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216</xdr:row>
      <xdr:rowOff>152400</xdr:rowOff>
    </xdr:from>
    <xdr:to>
      <xdr:col>5</xdr:col>
      <xdr:colOff>9525</xdr:colOff>
      <xdr:row>216</xdr:row>
      <xdr:rowOff>152400</xdr:rowOff>
    </xdr:to>
    <xdr:sp>
      <xdr:nvSpPr>
        <xdr:cNvPr id="67" name="Line 68"/>
        <xdr:cNvSpPr>
          <a:spLocks/>
        </xdr:cNvSpPr>
      </xdr:nvSpPr>
      <xdr:spPr>
        <a:xfrm>
          <a:off x="990600" y="381762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216</xdr:row>
      <xdr:rowOff>0</xdr:rowOff>
    </xdr:from>
    <xdr:to>
      <xdr:col>6</xdr:col>
      <xdr:colOff>9525</xdr:colOff>
      <xdr:row>216</xdr:row>
      <xdr:rowOff>0</xdr:rowOff>
    </xdr:to>
    <xdr:sp>
      <xdr:nvSpPr>
        <xdr:cNvPr id="68" name="Line 69"/>
        <xdr:cNvSpPr>
          <a:spLocks/>
        </xdr:cNvSpPr>
      </xdr:nvSpPr>
      <xdr:spPr>
        <a:xfrm>
          <a:off x="371475" y="380238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220</xdr:row>
      <xdr:rowOff>0</xdr:rowOff>
    </xdr:from>
    <xdr:to>
      <xdr:col>2</xdr:col>
      <xdr:colOff>381000</xdr:colOff>
      <xdr:row>224</xdr:row>
      <xdr:rowOff>9525</xdr:rowOff>
    </xdr:to>
    <xdr:sp>
      <xdr:nvSpPr>
        <xdr:cNvPr id="69" name="Line 70"/>
        <xdr:cNvSpPr>
          <a:spLocks/>
        </xdr:cNvSpPr>
      </xdr:nvSpPr>
      <xdr:spPr>
        <a:xfrm>
          <a:off x="1362075" y="387000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217</xdr:row>
      <xdr:rowOff>161925</xdr:rowOff>
    </xdr:from>
    <xdr:to>
      <xdr:col>0</xdr:col>
      <xdr:colOff>304800</xdr:colOff>
      <xdr:row>218</xdr:row>
      <xdr:rowOff>161925</xdr:rowOff>
    </xdr:to>
    <xdr:sp>
      <xdr:nvSpPr>
        <xdr:cNvPr id="70" name="Line 71"/>
        <xdr:cNvSpPr>
          <a:spLocks/>
        </xdr:cNvSpPr>
      </xdr:nvSpPr>
      <xdr:spPr>
        <a:xfrm flipV="1">
          <a:off x="304800" y="38347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231</xdr:row>
      <xdr:rowOff>161925</xdr:rowOff>
    </xdr:from>
    <xdr:to>
      <xdr:col>0</xdr:col>
      <xdr:colOff>314325</xdr:colOff>
      <xdr:row>237</xdr:row>
      <xdr:rowOff>0</xdr:rowOff>
    </xdr:to>
    <xdr:sp>
      <xdr:nvSpPr>
        <xdr:cNvPr id="71" name="Line 72"/>
        <xdr:cNvSpPr>
          <a:spLocks/>
        </xdr:cNvSpPr>
      </xdr:nvSpPr>
      <xdr:spPr>
        <a:xfrm>
          <a:off x="314325" y="407574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229</xdr:row>
      <xdr:rowOff>152400</xdr:rowOff>
    </xdr:from>
    <xdr:to>
      <xdr:col>5</xdr:col>
      <xdr:colOff>9525</xdr:colOff>
      <xdr:row>229</xdr:row>
      <xdr:rowOff>152400</xdr:rowOff>
    </xdr:to>
    <xdr:sp>
      <xdr:nvSpPr>
        <xdr:cNvPr id="72" name="Line 73"/>
        <xdr:cNvSpPr>
          <a:spLocks/>
        </xdr:cNvSpPr>
      </xdr:nvSpPr>
      <xdr:spPr>
        <a:xfrm>
          <a:off x="990600" y="404145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229</xdr:row>
      <xdr:rowOff>0</xdr:rowOff>
    </xdr:from>
    <xdr:to>
      <xdr:col>6</xdr:col>
      <xdr:colOff>9525</xdr:colOff>
      <xdr:row>229</xdr:row>
      <xdr:rowOff>0</xdr:rowOff>
    </xdr:to>
    <xdr:sp>
      <xdr:nvSpPr>
        <xdr:cNvPr id="73" name="Line 74"/>
        <xdr:cNvSpPr>
          <a:spLocks/>
        </xdr:cNvSpPr>
      </xdr:nvSpPr>
      <xdr:spPr>
        <a:xfrm>
          <a:off x="371475" y="402621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233</xdr:row>
      <xdr:rowOff>0</xdr:rowOff>
    </xdr:from>
    <xdr:to>
      <xdr:col>2</xdr:col>
      <xdr:colOff>381000</xdr:colOff>
      <xdr:row>237</xdr:row>
      <xdr:rowOff>9525</xdr:rowOff>
    </xdr:to>
    <xdr:sp>
      <xdr:nvSpPr>
        <xdr:cNvPr id="74" name="Line 75"/>
        <xdr:cNvSpPr>
          <a:spLocks/>
        </xdr:cNvSpPr>
      </xdr:nvSpPr>
      <xdr:spPr>
        <a:xfrm>
          <a:off x="1362075" y="409384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230</xdr:row>
      <xdr:rowOff>161925</xdr:rowOff>
    </xdr:from>
    <xdr:to>
      <xdr:col>0</xdr:col>
      <xdr:colOff>314325</xdr:colOff>
      <xdr:row>231</xdr:row>
      <xdr:rowOff>161925</xdr:rowOff>
    </xdr:to>
    <xdr:sp>
      <xdr:nvSpPr>
        <xdr:cNvPr id="75" name="Line 76"/>
        <xdr:cNvSpPr>
          <a:spLocks/>
        </xdr:cNvSpPr>
      </xdr:nvSpPr>
      <xdr:spPr>
        <a:xfrm flipV="1">
          <a:off x="314325" y="40586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244</xdr:row>
      <xdr:rowOff>161925</xdr:rowOff>
    </xdr:from>
    <xdr:to>
      <xdr:col>0</xdr:col>
      <xdr:colOff>314325</xdr:colOff>
      <xdr:row>250</xdr:row>
      <xdr:rowOff>0</xdr:rowOff>
    </xdr:to>
    <xdr:sp>
      <xdr:nvSpPr>
        <xdr:cNvPr id="76" name="Line 77"/>
        <xdr:cNvSpPr>
          <a:spLocks/>
        </xdr:cNvSpPr>
      </xdr:nvSpPr>
      <xdr:spPr>
        <a:xfrm>
          <a:off x="314325" y="429958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242</xdr:row>
      <xdr:rowOff>152400</xdr:rowOff>
    </xdr:from>
    <xdr:to>
      <xdr:col>5</xdr:col>
      <xdr:colOff>9525</xdr:colOff>
      <xdr:row>242</xdr:row>
      <xdr:rowOff>152400</xdr:rowOff>
    </xdr:to>
    <xdr:sp>
      <xdr:nvSpPr>
        <xdr:cNvPr id="77" name="Line 78"/>
        <xdr:cNvSpPr>
          <a:spLocks/>
        </xdr:cNvSpPr>
      </xdr:nvSpPr>
      <xdr:spPr>
        <a:xfrm>
          <a:off x="990600" y="426529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242</xdr:row>
      <xdr:rowOff>0</xdr:rowOff>
    </xdr:from>
    <xdr:to>
      <xdr:col>6</xdr:col>
      <xdr:colOff>9525</xdr:colOff>
      <xdr:row>242</xdr:row>
      <xdr:rowOff>0</xdr:rowOff>
    </xdr:to>
    <xdr:sp>
      <xdr:nvSpPr>
        <xdr:cNvPr id="78" name="Line 79"/>
        <xdr:cNvSpPr>
          <a:spLocks/>
        </xdr:cNvSpPr>
      </xdr:nvSpPr>
      <xdr:spPr>
        <a:xfrm>
          <a:off x="371475" y="425005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246</xdr:row>
      <xdr:rowOff>0</xdr:rowOff>
    </xdr:from>
    <xdr:to>
      <xdr:col>2</xdr:col>
      <xdr:colOff>381000</xdr:colOff>
      <xdr:row>250</xdr:row>
      <xdr:rowOff>9525</xdr:rowOff>
    </xdr:to>
    <xdr:sp>
      <xdr:nvSpPr>
        <xdr:cNvPr id="79" name="Line 80"/>
        <xdr:cNvSpPr>
          <a:spLocks/>
        </xdr:cNvSpPr>
      </xdr:nvSpPr>
      <xdr:spPr>
        <a:xfrm>
          <a:off x="1362075" y="431768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243</xdr:row>
      <xdr:rowOff>161925</xdr:rowOff>
    </xdr:from>
    <xdr:to>
      <xdr:col>0</xdr:col>
      <xdr:colOff>314325</xdr:colOff>
      <xdr:row>244</xdr:row>
      <xdr:rowOff>161925</xdr:rowOff>
    </xdr:to>
    <xdr:sp>
      <xdr:nvSpPr>
        <xdr:cNvPr id="80" name="Line 81"/>
        <xdr:cNvSpPr>
          <a:spLocks/>
        </xdr:cNvSpPr>
      </xdr:nvSpPr>
      <xdr:spPr>
        <a:xfrm flipV="1">
          <a:off x="314325" y="42824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258</xdr:row>
      <xdr:rowOff>180975</xdr:rowOff>
    </xdr:from>
    <xdr:to>
      <xdr:col>0</xdr:col>
      <xdr:colOff>304800</xdr:colOff>
      <xdr:row>264</xdr:row>
      <xdr:rowOff>0</xdr:rowOff>
    </xdr:to>
    <xdr:sp>
      <xdr:nvSpPr>
        <xdr:cNvPr id="81" name="Line 82"/>
        <xdr:cNvSpPr>
          <a:spLocks/>
        </xdr:cNvSpPr>
      </xdr:nvSpPr>
      <xdr:spPr>
        <a:xfrm>
          <a:off x="304800" y="455009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256</xdr:row>
      <xdr:rowOff>152400</xdr:rowOff>
    </xdr:from>
    <xdr:to>
      <xdr:col>5</xdr:col>
      <xdr:colOff>9525</xdr:colOff>
      <xdr:row>256</xdr:row>
      <xdr:rowOff>152400</xdr:rowOff>
    </xdr:to>
    <xdr:sp>
      <xdr:nvSpPr>
        <xdr:cNvPr id="82" name="Line 83"/>
        <xdr:cNvSpPr>
          <a:spLocks/>
        </xdr:cNvSpPr>
      </xdr:nvSpPr>
      <xdr:spPr>
        <a:xfrm>
          <a:off x="990600" y="451008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256</xdr:row>
      <xdr:rowOff>0</xdr:rowOff>
    </xdr:from>
    <xdr:to>
      <xdr:col>6</xdr:col>
      <xdr:colOff>9525</xdr:colOff>
      <xdr:row>256</xdr:row>
      <xdr:rowOff>0</xdr:rowOff>
    </xdr:to>
    <xdr:sp>
      <xdr:nvSpPr>
        <xdr:cNvPr id="83" name="Line 84"/>
        <xdr:cNvSpPr>
          <a:spLocks/>
        </xdr:cNvSpPr>
      </xdr:nvSpPr>
      <xdr:spPr>
        <a:xfrm>
          <a:off x="371475" y="449484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260</xdr:row>
      <xdr:rowOff>0</xdr:rowOff>
    </xdr:from>
    <xdr:to>
      <xdr:col>2</xdr:col>
      <xdr:colOff>381000</xdr:colOff>
      <xdr:row>264</xdr:row>
      <xdr:rowOff>9525</xdr:rowOff>
    </xdr:to>
    <xdr:sp>
      <xdr:nvSpPr>
        <xdr:cNvPr id="84" name="Line 85"/>
        <xdr:cNvSpPr>
          <a:spLocks/>
        </xdr:cNvSpPr>
      </xdr:nvSpPr>
      <xdr:spPr>
        <a:xfrm>
          <a:off x="1362075" y="457485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257</xdr:row>
      <xdr:rowOff>180975</xdr:rowOff>
    </xdr:from>
    <xdr:to>
      <xdr:col>0</xdr:col>
      <xdr:colOff>304800</xdr:colOff>
      <xdr:row>258</xdr:row>
      <xdr:rowOff>180975</xdr:rowOff>
    </xdr:to>
    <xdr:sp>
      <xdr:nvSpPr>
        <xdr:cNvPr id="85" name="Line 86"/>
        <xdr:cNvSpPr>
          <a:spLocks/>
        </xdr:cNvSpPr>
      </xdr:nvSpPr>
      <xdr:spPr>
        <a:xfrm flipV="1">
          <a:off x="304800" y="45291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271</xdr:row>
      <xdr:rowOff>161925</xdr:rowOff>
    </xdr:from>
    <xdr:to>
      <xdr:col>0</xdr:col>
      <xdr:colOff>304800</xdr:colOff>
      <xdr:row>277</xdr:row>
      <xdr:rowOff>0</xdr:rowOff>
    </xdr:to>
    <xdr:sp>
      <xdr:nvSpPr>
        <xdr:cNvPr id="86" name="Line 87"/>
        <xdr:cNvSpPr>
          <a:spLocks/>
        </xdr:cNvSpPr>
      </xdr:nvSpPr>
      <xdr:spPr>
        <a:xfrm>
          <a:off x="304800" y="478440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269</xdr:row>
      <xdr:rowOff>152400</xdr:rowOff>
    </xdr:from>
    <xdr:to>
      <xdr:col>5</xdr:col>
      <xdr:colOff>9525</xdr:colOff>
      <xdr:row>269</xdr:row>
      <xdr:rowOff>152400</xdr:rowOff>
    </xdr:to>
    <xdr:sp>
      <xdr:nvSpPr>
        <xdr:cNvPr id="87" name="Line 88"/>
        <xdr:cNvSpPr>
          <a:spLocks/>
        </xdr:cNvSpPr>
      </xdr:nvSpPr>
      <xdr:spPr>
        <a:xfrm>
          <a:off x="990600" y="475011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269</xdr:row>
      <xdr:rowOff>0</xdr:rowOff>
    </xdr:from>
    <xdr:to>
      <xdr:col>6</xdr:col>
      <xdr:colOff>9525</xdr:colOff>
      <xdr:row>269</xdr:row>
      <xdr:rowOff>0</xdr:rowOff>
    </xdr:to>
    <xdr:sp>
      <xdr:nvSpPr>
        <xdr:cNvPr id="88" name="Line 89"/>
        <xdr:cNvSpPr>
          <a:spLocks/>
        </xdr:cNvSpPr>
      </xdr:nvSpPr>
      <xdr:spPr>
        <a:xfrm>
          <a:off x="371475" y="473487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273</xdr:row>
      <xdr:rowOff>0</xdr:rowOff>
    </xdr:from>
    <xdr:to>
      <xdr:col>2</xdr:col>
      <xdr:colOff>381000</xdr:colOff>
      <xdr:row>277</xdr:row>
      <xdr:rowOff>9525</xdr:rowOff>
    </xdr:to>
    <xdr:sp>
      <xdr:nvSpPr>
        <xdr:cNvPr id="89" name="Line 90"/>
        <xdr:cNvSpPr>
          <a:spLocks/>
        </xdr:cNvSpPr>
      </xdr:nvSpPr>
      <xdr:spPr>
        <a:xfrm>
          <a:off x="1362075" y="480250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270</xdr:row>
      <xdr:rowOff>161925</xdr:rowOff>
    </xdr:from>
    <xdr:to>
      <xdr:col>0</xdr:col>
      <xdr:colOff>304800</xdr:colOff>
      <xdr:row>271</xdr:row>
      <xdr:rowOff>161925</xdr:rowOff>
    </xdr:to>
    <xdr:sp>
      <xdr:nvSpPr>
        <xdr:cNvPr id="90" name="Line 91"/>
        <xdr:cNvSpPr>
          <a:spLocks/>
        </xdr:cNvSpPr>
      </xdr:nvSpPr>
      <xdr:spPr>
        <a:xfrm flipV="1">
          <a:off x="304800" y="47672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284</xdr:row>
      <xdr:rowOff>161925</xdr:rowOff>
    </xdr:from>
    <xdr:to>
      <xdr:col>0</xdr:col>
      <xdr:colOff>314325</xdr:colOff>
      <xdr:row>290</xdr:row>
      <xdr:rowOff>0</xdr:rowOff>
    </xdr:to>
    <xdr:sp>
      <xdr:nvSpPr>
        <xdr:cNvPr id="91" name="Line 92"/>
        <xdr:cNvSpPr>
          <a:spLocks/>
        </xdr:cNvSpPr>
      </xdr:nvSpPr>
      <xdr:spPr>
        <a:xfrm>
          <a:off x="314325" y="500824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282</xdr:row>
      <xdr:rowOff>152400</xdr:rowOff>
    </xdr:from>
    <xdr:to>
      <xdr:col>5</xdr:col>
      <xdr:colOff>9525</xdr:colOff>
      <xdr:row>282</xdr:row>
      <xdr:rowOff>152400</xdr:rowOff>
    </xdr:to>
    <xdr:sp>
      <xdr:nvSpPr>
        <xdr:cNvPr id="92" name="Line 93"/>
        <xdr:cNvSpPr>
          <a:spLocks/>
        </xdr:cNvSpPr>
      </xdr:nvSpPr>
      <xdr:spPr>
        <a:xfrm>
          <a:off x="990600" y="497395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282</xdr:row>
      <xdr:rowOff>0</xdr:rowOff>
    </xdr:from>
    <xdr:to>
      <xdr:col>6</xdr:col>
      <xdr:colOff>9525</xdr:colOff>
      <xdr:row>282</xdr:row>
      <xdr:rowOff>0</xdr:rowOff>
    </xdr:to>
    <xdr:sp>
      <xdr:nvSpPr>
        <xdr:cNvPr id="93" name="Line 94"/>
        <xdr:cNvSpPr>
          <a:spLocks/>
        </xdr:cNvSpPr>
      </xdr:nvSpPr>
      <xdr:spPr>
        <a:xfrm>
          <a:off x="371475" y="495871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286</xdr:row>
      <xdr:rowOff>0</xdr:rowOff>
    </xdr:from>
    <xdr:to>
      <xdr:col>2</xdr:col>
      <xdr:colOff>381000</xdr:colOff>
      <xdr:row>290</xdr:row>
      <xdr:rowOff>9525</xdr:rowOff>
    </xdr:to>
    <xdr:sp>
      <xdr:nvSpPr>
        <xdr:cNvPr id="94" name="Line 95"/>
        <xdr:cNvSpPr>
          <a:spLocks/>
        </xdr:cNvSpPr>
      </xdr:nvSpPr>
      <xdr:spPr>
        <a:xfrm>
          <a:off x="1362075" y="502634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283</xdr:row>
      <xdr:rowOff>161925</xdr:rowOff>
    </xdr:from>
    <xdr:to>
      <xdr:col>0</xdr:col>
      <xdr:colOff>314325</xdr:colOff>
      <xdr:row>284</xdr:row>
      <xdr:rowOff>161925</xdr:rowOff>
    </xdr:to>
    <xdr:sp>
      <xdr:nvSpPr>
        <xdr:cNvPr id="95" name="Line 96"/>
        <xdr:cNvSpPr>
          <a:spLocks/>
        </xdr:cNvSpPr>
      </xdr:nvSpPr>
      <xdr:spPr>
        <a:xfrm flipV="1">
          <a:off x="314325" y="49911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297</xdr:row>
      <xdr:rowOff>161925</xdr:rowOff>
    </xdr:from>
    <xdr:to>
      <xdr:col>0</xdr:col>
      <xdr:colOff>314325</xdr:colOff>
      <xdr:row>303</xdr:row>
      <xdr:rowOff>0</xdr:rowOff>
    </xdr:to>
    <xdr:sp>
      <xdr:nvSpPr>
        <xdr:cNvPr id="96" name="Line 97"/>
        <xdr:cNvSpPr>
          <a:spLocks/>
        </xdr:cNvSpPr>
      </xdr:nvSpPr>
      <xdr:spPr>
        <a:xfrm>
          <a:off x="314325" y="523208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295</xdr:row>
      <xdr:rowOff>152400</xdr:rowOff>
    </xdr:from>
    <xdr:to>
      <xdr:col>5</xdr:col>
      <xdr:colOff>9525</xdr:colOff>
      <xdr:row>295</xdr:row>
      <xdr:rowOff>152400</xdr:rowOff>
    </xdr:to>
    <xdr:sp>
      <xdr:nvSpPr>
        <xdr:cNvPr id="97" name="Line 98"/>
        <xdr:cNvSpPr>
          <a:spLocks/>
        </xdr:cNvSpPr>
      </xdr:nvSpPr>
      <xdr:spPr>
        <a:xfrm>
          <a:off x="990600" y="519779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295</xdr:row>
      <xdr:rowOff>0</xdr:rowOff>
    </xdr:from>
    <xdr:to>
      <xdr:col>6</xdr:col>
      <xdr:colOff>9525</xdr:colOff>
      <xdr:row>295</xdr:row>
      <xdr:rowOff>0</xdr:rowOff>
    </xdr:to>
    <xdr:sp>
      <xdr:nvSpPr>
        <xdr:cNvPr id="98" name="Line 99"/>
        <xdr:cNvSpPr>
          <a:spLocks/>
        </xdr:cNvSpPr>
      </xdr:nvSpPr>
      <xdr:spPr>
        <a:xfrm>
          <a:off x="371475" y="518255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299</xdr:row>
      <xdr:rowOff>0</xdr:rowOff>
    </xdr:from>
    <xdr:to>
      <xdr:col>2</xdr:col>
      <xdr:colOff>381000</xdr:colOff>
      <xdr:row>303</xdr:row>
      <xdr:rowOff>9525</xdr:rowOff>
    </xdr:to>
    <xdr:sp>
      <xdr:nvSpPr>
        <xdr:cNvPr id="99" name="Line 100"/>
        <xdr:cNvSpPr>
          <a:spLocks/>
        </xdr:cNvSpPr>
      </xdr:nvSpPr>
      <xdr:spPr>
        <a:xfrm>
          <a:off x="1362075" y="52501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296</xdr:row>
      <xdr:rowOff>161925</xdr:rowOff>
    </xdr:from>
    <xdr:to>
      <xdr:col>0</xdr:col>
      <xdr:colOff>314325</xdr:colOff>
      <xdr:row>297</xdr:row>
      <xdr:rowOff>161925</xdr:rowOff>
    </xdr:to>
    <xdr:sp>
      <xdr:nvSpPr>
        <xdr:cNvPr id="100" name="Line 101"/>
        <xdr:cNvSpPr>
          <a:spLocks/>
        </xdr:cNvSpPr>
      </xdr:nvSpPr>
      <xdr:spPr>
        <a:xfrm flipV="1">
          <a:off x="314325" y="52149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311</xdr:row>
      <xdr:rowOff>180975</xdr:rowOff>
    </xdr:from>
    <xdr:to>
      <xdr:col>0</xdr:col>
      <xdr:colOff>304800</xdr:colOff>
      <xdr:row>317</xdr:row>
      <xdr:rowOff>0</xdr:rowOff>
    </xdr:to>
    <xdr:sp>
      <xdr:nvSpPr>
        <xdr:cNvPr id="101" name="Line 102"/>
        <xdr:cNvSpPr>
          <a:spLocks/>
        </xdr:cNvSpPr>
      </xdr:nvSpPr>
      <xdr:spPr>
        <a:xfrm>
          <a:off x="304800" y="548259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309</xdr:row>
      <xdr:rowOff>152400</xdr:rowOff>
    </xdr:from>
    <xdr:to>
      <xdr:col>5</xdr:col>
      <xdr:colOff>9525</xdr:colOff>
      <xdr:row>309</xdr:row>
      <xdr:rowOff>152400</xdr:rowOff>
    </xdr:to>
    <xdr:sp>
      <xdr:nvSpPr>
        <xdr:cNvPr id="102" name="Line 103"/>
        <xdr:cNvSpPr>
          <a:spLocks/>
        </xdr:cNvSpPr>
      </xdr:nvSpPr>
      <xdr:spPr>
        <a:xfrm>
          <a:off x="990600" y="544258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309</xdr:row>
      <xdr:rowOff>0</xdr:rowOff>
    </xdr:from>
    <xdr:to>
      <xdr:col>6</xdr:col>
      <xdr:colOff>9525</xdr:colOff>
      <xdr:row>309</xdr:row>
      <xdr:rowOff>0</xdr:rowOff>
    </xdr:to>
    <xdr:sp>
      <xdr:nvSpPr>
        <xdr:cNvPr id="103" name="Line 104"/>
        <xdr:cNvSpPr>
          <a:spLocks/>
        </xdr:cNvSpPr>
      </xdr:nvSpPr>
      <xdr:spPr>
        <a:xfrm>
          <a:off x="371475" y="542734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313</xdr:row>
      <xdr:rowOff>0</xdr:rowOff>
    </xdr:from>
    <xdr:to>
      <xdr:col>2</xdr:col>
      <xdr:colOff>381000</xdr:colOff>
      <xdr:row>317</xdr:row>
      <xdr:rowOff>9525</xdr:rowOff>
    </xdr:to>
    <xdr:sp>
      <xdr:nvSpPr>
        <xdr:cNvPr id="104" name="Line 105"/>
        <xdr:cNvSpPr>
          <a:spLocks/>
        </xdr:cNvSpPr>
      </xdr:nvSpPr>
      <xdr:spPr>
        <a:xfrm>
          <a:off x="1362075" y="550735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310</xdr:row>
      <xdr:rowOff>180975</xdr:rowOff>
    </xdr:from>
    <xdr:to>
      <xdr:col>0</xdr:col>
      <xdr:colOff>304800</xdr:colOff>
      <xdr:row>311</xdr:row>
      <xdr:rowOff>180975</xdr:rowOff>
    </xdr:to>
    <xdr:sp>
      <xdr:nvSpPr>
        <xdr:cNvPr id="105" name="Line 106"/>
        <xdr:cNvSpPr>
          <a:spLocks/>
        </xdr:cNvSpPr>
      </xdr:nvSpPr>
      <xdr:spPr>
        <a:xfrm flipV="1">
          <a:off x="304800" y="5461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324</xdr:row>
      <xdr:rowOff>161925</xdr:rowOff>
    </xdr:from>
    <xdr:to>
      <xdr:col>0</xdr:col>
      <xdr:colOff>304800</xdr:colOff>
      <xdr:row>330</xdr:row>
      <xdr:rowOff>0</xdr:rowOff>
    </xdr:to>
    <xdr:sp>
      <xdr:nvSpPr>
        <xdr:cNvPr id="106" name="Line 107"/>
        <xdr:cNvSpPr>
          <a:spLocks/>
        </xdr:cNvSpPr>
      </xdr:nvSpPr>
      <xdr:spPr>
        <a:xfrm>
          <a:off x="304800" y="571690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322</xdr:row>
      <xdr:rowOff>152400</xdr:rowOff>
    </xdr:from>
    <xdr:to>
      <xdr:col>5</xdr:col>
      <xdr:colOff>9525</xdr:colOff>
      <xdr:row>322</xdr:row>
      <xdr:rowOff>152400</xdr:rowOff>
    </xdr:to>
    <xdr:sp>
      <xdr:nvSpPr>
        <xdr:cNvPr id="107" name="Line 108"/>
        <xdr:cNvSpPr>
          <a:spLocks/>
        </xdr:cNvSpPr>
      </xdr:nvSpPr>
      <xdr:spPr>
        <a:xfrm>
          <a:off x="990600" y="568261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322</xdr:row>
      <xdr:rowOff>0</xdr:rowOff>
    </xdr:from>
    <xdr:to>
      <xdr:col>6</xdr:col>
      <xdr:colOff>9525</xdr:colOff>
      <xdr:row>322</xdr:row>
      <xdr:rowOff>0</xdr:rowOff>
    </xdr:to>
    <xdr:sp>
      <xdr:nvSpPr>
        <xdr:cNvPr id="108" name="Line 109"/>
        <xdr:cNvSpPr>
          <a:spLocks/>
        </xdr:cNvSpPr>
      </xdr:nvSpPr>
      <xdr:spPr>
        <a:xfrm>
          <a:off x="371475" y="566737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326</xdr:row>
      <xdr:rowOff>0</xdr:rowOff>
    </xdr:from>
    <xdr:to>
      <xdr:col>2</xdr:col>
      <xdr:colOff>381000</xdr:colOff>
      <xdr:row>330</xdr:row>
      <xdr:rowOff>9525</xdr:rowOff>
    </xdr:to>
    <xdr:sp>
      <xdr:nvSpPr>
        <xdr:cNvPr id="109" name="Line 110"/>
        <xdr:cNvSpPr>
          <a:spLocks/>
        </xdr:cNvSpPr>
      </xdr:nvSpPr>
      <xdr:spPr>
        <a:xfrm>
          <a:off x="1362075" y="573500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323</xdr:row>
      <xdr:rowOff>161925</xdr:rowOff>
    </xdr:from>
    <xdr:to>
      <xdr:col>0</xdr:col>
      <xdr:colOff>304800</xdr:colOff>
      <xdr:row>324</xdr:row>
      <xdr:rowOff>161925</xdr:rowOff>
    </xdr:to>
    <xdr:sp>
      <xdr:nvSpPr>
        <xdr:cNvPr id="110" name="Line 111"/>
        <xdr:cNvSpPr>
          <a:spLocks/>
        </xdr:cNvSpPr>
      </xdr:nvSpPr>
      <xdr:spPr>
        <a:xfrm flipV="1">
          <a:off x="304800" y="56997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337</xdr:row>
      <xdr:rowOff>161925</xdr:rowOff>
    </xdr:from>
    <xdr:to>
      <xdr:col>0</xdr:col>
      <xdr:colOff>314325</xdr:colOff>
      <xdr:row>343</xdr:row>
      <xdr:rowOff>0</xdr:rowOff>
    </xdr:to>
    <xdr:sp>
      <xdr:nvSpPr>
        <xdr:cNvPr id="111" name="Line 112"/>
        <xdr:cNvSpPr>
          <a:spLocks/>
        </xdr:cNvSpPr>
      </xdr:nvSpPr>
      <xdr:spPr>
        <a:xfrm>
          <a:off x="314325" y="594074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335</xdr:row>
      <xdr:rowOff>152400</xdr:rowOff>
    </xdr:from>
    <xdr:to>
      <xdr:col>5</xdr:col>
      <xdr:colOff>9525</xdr:colOff>
      <xdr:row>335</xdr:row>
      <xdr:rowOff>152400</xdr:rowOff>
    </xdr:to>
    <xdr:sp>
      <xdr:nvSpPr>
        <xdr:cNvPr id="112" name="Line 113"/>
        <xdr:cNvSpPr>
          <a:spLocks/>
        </xdr:cNvSpPr>
      </xdr:nvSpPr>
      <xdr:spPr>
        <a:xfrm>
          <a:off x="990600" y="590645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335</xdr:row>
      <xdr:rowOff>0</xdr:rowOff>
    </xdr:from>
    <xdr:to>
      <xdr:col>6</xdr:col>
      <xdr:colOff>9525</xdr:colOff>
      <xdr:row>335</xdr:row>
      <xdr:rowOff>0</xdr:rowOff>
    </xdr:to>
    <xdr:sp>
      <xdr:nvSpPr>
        <xdr:cNvPr id="113" name="Line 114"/>
        <xdr:cNvSpPr>
          <a:spLocks/>
        </xdr:cNvSpPr>
      </xdr:nvSpPr>
      <xdr:spPr>
        <a:xfrm>
          <a:off x="371475" y="589121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339</xdr:row>
      <xdr:rowOff>0</xdr:rowOff>
    </xdr:from>
    <xdr:to>
      <xdr:col>2</xdr:col>
      <xdr:colOff>381000</xdr:colOff>
      <xdr:row>343</xdr:row>
      <xdr:rowOff>9525</xdr:rowOff>
    </xdr:to>
    <xdr:sp>
      <xdr:nvSpPr>
        <xdr:cNvPr id="114" name="Line 115"/>
        <xdr:cNvSpPr>
          <a:spLocks/>
        </xdr:cNvSpPr>
      </xdr:nvSpPr>
      <xdr:spPr>
        <a:xfrm>
          <a:off x="1362075" y="595884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336</xdr:row>
      <xdr:rowOff>161925</xdr:rowOff>
    </xdr:from>
    <xdr:to>
      <xdr:col>0</xdr:col>
      <xdr:colOff>314325</xdr:colOff>
      <xdr:row>337</xdr:row>
      <xdr:rowOff>161925</xdr:rowOff>
    </xdr:to>
    <xdr:sp>
      <xdr:nvSpPr>
        <xdr:cNvPr id="115" name="Line 116"/>
        <xdr:cNvSpPr>
          <a:spLocks/>
        </xdr:cNvSpPr>
      </xdr:nvSpPr>
      <xdr:spPr>
        <a:xfrm flipV="1">
          <a:off x="314325" y="59235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350</xdr:row>
      <xdr:rowOff>161925</xdr:rowOff>
    </xdr:from>
    <xdr:to>
      <xdr:col>0</xdr:col>
      <xdr:colOff>314325</xdr:colOff>
      <xdr:row>356</xdr:row>
      <xdr:rowOff>0</xdr:rowOff>
    </xdr:to>
    <xdr:sp>
      <xdr:nvSpPr>
        <xdr:cNvPr id="116" name="Line 117"/>
        <xdr:cNvSpPr>
          <a:spLocks/>
        </xdr:cNvSpPr>
      </xdr:nvSpPr>
      <xdr:spPr>
        <a:xfrm>
          <a:off x="314325" y="61645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348</xdr:row>
      <xdr:rowOff>152400</xdr:rowOff>
    </xdr:from>
    <xdr:to>
      <xdr:col>5</xdr:col>
      <xdr:colOff>9525</xdr:colOff>
      <xdr:row>348</xdr:row>
      <xdr:rowOff>152400</xdr:rowOff>
    </xdr:to>
    <xdr:sp>
      <xdr:nvSpPr>
        <xdr:cNvPr id="117" name="Line 118"/>
        <xdr:cNvSpPr>
          <a:spLocks/>
        </xdr:cNvSpPr>
      </xdr:nvSpPr>
      <xdr:spPr>
        <a:xfrm>
          <a:off x="990600" y="61302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348</xdr:row>
      <xdr:rowOff>0</xdr:rowOff>
    </xdr:from>
    <xdr:to>
      <xdr:col>6</xdr:col>
      <xdr:colOff>9525</xdr:colOff>
      <xdr:row>348</xdr:row>
      <xdr:rowOff>0</xdr:rowOff>
    </xdr:to>
    <xdr:sp>
      <xdr:nvSpPr>
        <xdr:cNvPr id="118" name="Line 119"/>
        <xdr:cNvSpPr>
          <a:spLocks/>
        </xdr:cNvSpPr>
      </xdr:nvSpPr>
      <xdr:spPr>
        <a:xfrm>
          <a:off x="371475" y="611505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352</xdr:row>
      <xdr:rowOff>0</xdr:rowOff>
    </xdr:from>
    <xdr:to>
      <xdr:col>2</xdr:col>
      <xdr:colOff>381000</xdr:colOff>
      <xdr:row>356</xdr:row>
      <xdr:rowOff>9525</xdr:rowOff>
    </xdr:to>
    <xdr:sp>
      <xdr:nvSpPr>
        <xdr:cNvPr id="119" name="Line 120"/>
        <xdr:cNvSpPr>
          <a:spLocks/>
        </xdr:cNvSpPr>
      </xdr:nvSpPr>
      <xdr:spPr>
        <a:xfrm>
          <a:off x="1362075" y="618267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349</xdr:row>
      <xdr:rowOff>161925</xdr:rowOff>
    </xdr:from>
    <xdr:to>
      <xdr:col>0</xdr:col>
      <xdr:colOff>314325</xdr:colOff>
      <xdr:row>350</xdr:row>
      <xdr:rowOff>161925</xdr:rowOff>
    </xdr:to>
    <xdr:sp>
      <xdr:nvSpPr>
        <xdr:cNvPr id="120" name="Line 121"/>
        <xdr:cNvSpPr>
          <a:spLocks/>
        </xdr:cNvSpPr>
      </xdr:nvSpPr>
      <xdr:spPr>
        <a:xfrm flipV="1">
          <a:off x="314325" y="61474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364</xdr:row>
      <xdr:rowOff>180975</xdr:rowOff>
    </xdr:from>
    <xdr:to>
      <xdr:col>0</xdr:col>
      <xdr:colOff>304800</xdr:colOff>
      <xdr:row>370</xdr:row>
      <xdr:rowOff>0</xdr:rowOff>
    </xdr:to>
    <xdr:sp>
      <xdr:nvSpPr>
        <xdr:cNvPr id="121" name="Line 122"/>
        <xdr:cNvSpPr>
          <a:spLocks/>
        </xdr:cNvSpPr>
      </xdr:nvSpPr>
      <xdr:spPr>
        <a:xfrm>
          <a:off x="304800" y="641508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362</xdr:row>
      <xdr:rowOff>152400</xdr:rowOff>
    </xdr:from>
    <xdr:to>
      <xdr:col>5</xdr:col>
      <xdr:colOff>9525</xdr:colOff>
      <xdr:row>362</xdr:row>
      <xdr:rowOff>152400</xdr:rowOff>
    </xdr:to>
    <xdr:sp>
      <xdr:nvSpPr>
        <xdr:cNvPr id="122" name="Line 123"/>
        <xdr:cNvSpPr>
          <a:spLocks/>
        </xdr:cNvSpPr>
      </xdr:nvSpPr>
      <xdr:spPr>
        <a:xfrm>
          <a:off x="990600" y="637508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362</xdr:row>
      <xdr:rowOff>0</xdr:rowOff>
    </xdr:from>
    <xdr:to>
      <xdr:col>6</xdr:col>
      <xdr:colOff>9525</xdr:colOff>
      <xdr:row>362</xdr:row>
      <xdr:rowOff>0</xdr:rowOff>
    </xdr:to>
    <xdr:sp>
      <xdr:nvSpPr>
        <xdr:cNvPr id="123" name="Line 124"/>
        <xdr:cNvSpPr>
          <a:spLocks/>
        </xdr:cNvSpPr>
      </xdr:nvSpPr>
      <xdr:spPr>
        <a:xfrm>
          <a:off x="371475" y="635984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366</xdr:row>
      <xdr:rowOff>0</xdr:rowOff>
    </xdr:from>
    <xdr:to>
      <xdr:col>2</xdr:col>
      <xdr:colOff>381000</xdr:colOff>
      <xdr:row>370</xdr:row>
      <xdr:rowOff>9525</xdr:rowOff>
    </xdr:to>
    <xdr:sp>
      <xdr:nvSpPr>
        <xdr:cNvPr id="124" name="Line 125"/>
        <xdr:cNvSpPr>
          <a:spLocks/>
        </xdr:cNvSpPr>
      </xdr:nvSpPr>
      <xdr:spPr>
        <a:xfrm>
          <a:off x="1362075" y="643985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363</xdr:row>
      <xdr:rowOff>180975</xdr:rowOff>
    </xdr:from>
    <xdr:to>
      <xdr:col>0</xdr:col>
      <xdr:colOff>304800</xdr:colOff>
      <xdr:row>364</xdr:row>
      <xdr:rowOff>180975</xdr:rowOff>
    </xdr:to>
    <xdr:sp>
      <xdr:nvSpPr>
        <xdr:cNvPr id="125" name="Line 126"/>
        <xdr:cNvSpPr>
          <a:spLocks/>
        </xdr:cNvSpPr>
      </xdr:nvSpPr>
      <xdr:spPr>
        <a:xfrm flipV="1">
          <a:off x="304800" y="63941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377</xdr:row>
      <xdr:rowOff>161925</xdr:rowOff>
    </xdr:from>
    <xdr:to>
      <xdr:col>0</xdr:col>
      <xdr:colOff>304800</xdr:colOff>
      <xdr:row>383</xdr:row>
      <xdr:rowOff>0</xdr:rowOff>
    </xdr:to>
    <xdr:sp>
      <xdr:nvSpPr>
        <xdr:cNvPr id="126" name="Line 127"/>
        <xdr:cNvSpPr>
          <a:spLocks/>
        </xdr:cNvSpPr>
      </xdr:nvSpPr>
      <xdr:spPr>
        <a:xfrm>
          <a:off x="304800" y="664940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375</xdr:row>
      <xdr:rowOff>152400</xdr:rowOff>
    </xdr:from>
    <xdr:to>
      <xdr:col>5</xdr:col>
      <xdr:colOff>9525</xdr:colOff>
      <xdr:row>375</xdr:row>
      <xdr:rowOff>152400</xdr:rowOff>
    </xdr:to>
    <xdr:sp>
      <xdr:nvSpPr>
        <xdr:cNvPr id="127" name="Line 128"/>
        <xdr:cNvSpPr>
          <a:spLocks/>
        </xdr:cNvSpPr>
      </xdr:nvSpPr>
      <xdr:spPr>
        <a:xfrm>
          <a:off x="990600" y="661511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375</xdr:row>
      <xdr:rowOff>0</xdr:rowOff>
    </xdr:from>
    <xdr:to>
      <xdr:col>6</xdr:col>
      <xdr:colOff>9525</xdr:colOff>
      <xdr:row>375</xdr:row>
      <xdr:rowOff>0</xdr:rowOff>
    </xdr:to>
    <xdr:sp>
      <xdr:nvSpPr>
        <xdr:cNvPr id="128" name="Line 129"/>
        <xdr:cNvSpPr>
          <a:spLocks/>
        </xdr:cNvSpPr>
      </xdr:nvSpPr>
      <xdr:spPr>
        <a:xfrm>
          <a:off x="371475" y="659987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379</xdr:row>
      <xdr:rowOff>0</xdr:rowOff>
    </xdr:from>
    <xdr:to>
      <xdr:col>2</xdr:col>
      <xdr:colOff>381000</xdr:colOff>
      <xdr:row>383</xdr:row>
      <xdr:rowOff>9525</xdr:rowOff>
    </xdr:to>
    <xdr:sp>
      <xdr:nvSpPr>
        <xdr:cNvPr id="129" name="Line 130"/>
        <xdr:cNvSpPr>
          <a:spLocks/>
        </xdr:cNvSpPr>
      </xdr:nvSpPr>
      <xdr:spPr>
        <a:xfrm>
          <a:off x="1362075" y="666750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376</xdr:row>
      <xdr:rowOff>161925</xdr:rowOff>
    </xdr:from>
    <xdr:to>
      <xdr:col>0</xdr:col>
      <xdr:colOff>304800</xdr:colOff>
      <xdr:row>377</xdr:row>
      <xdr:rowOff>161925</xdr:rowOff>
    </xdr:to>
    <xdr:sp>
      <xdr:nvSpPr>
        <xdr:cNvPr id="130" name="Line 131"/>
        <xdr:cNvSpPr>
          <a:spLocks/>
        </xdr:cNvSpPr>
      </xdr:nvSpPr>
      <xdr:spPr>
        <a:xfrm flipV="1">
          <a:off x="304800" y="66322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390</xdr:row>
      <xdr:rowOff>161925</xdr:rowOff>
    </xdr:from>
    <xdr:to>
      <xdr:col>0</xdr:col>
      <xdr:colOff>314325</xdr:colOff>
      <xdr:row>396</xdr:row>
      <xdr:rowOff>0</xdr:rowOff>
    </xdr:to>
    <xdr:sp>
      <xdr:nvSpPr>
        <xdr:cNvPr id="131" name="Line 132"/>
        <xdr:cNvSpPr>
          <a:spLocks/>
        </xdr:cNvSpPr>
      </xdr:nvSpPr>
      <xdr:spPr>
        <a:xfrm>
          <a:off x="314325" y="68732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388</xdr:row>
      <xdr:rowOff>152400</xdr:rowOff>
    </xdr:from>
    <xdr:to>
      <xdr:col>5</xdr:col>
      <xdr:colOff>9525</xdr:colOff>
      <xdr:row>388</xdr:row>
      <xdr:rowOff>152400</xdr:rowOff>
    </xdr:to>
    <xdr:sp>
      <xdr:nvSpPr>
        <xdr:cNvPr id="132" name="Line 133"/>
        <xdr:cNvSpPr>
          <a:spLocks/>
        </xdr:cNvSpPr>
      </xdr:nvSpPr>
      <xdr:spPr>
        <a:xfrm>
          <a:off x="990600" y="683895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388</xdr:row>
      <xdr:rowOff>0</xdr:rowOff>
    </xdr:from>
    <xdr:to>
      <xdr:col>6</xdr:col>
      <xdr:colOff>9525</xdr:colOff>
      <xdr:row>388</xdr:row>
      <xdr:rowOff>0</xdr:rowOff>
    </xdr:to>
    <xdr:sp>
      <xdr:nvSpPr>
        <xdr:cNvPr id="133" name="Line 134"/>
        <xdr:cNvSpPr>
          <a:spLocks/>
        </xdr:cNvSpPr>
      </xdr:nvSpPr>
      <xdr:spPr>
        <a:xfrm>
          <a:off x="371475" y="682371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392</xdr:row>
      <xdr:rowOff>0</xdr:rowOff>
    </xdr:from>
    <xdr:to>
      <xdr:col>2</xdr:col>
      <xdr:colOff>381000</xdr:colOff>
      <xdr:row>396</xdr:row>
      <xdr:rowOff>9525</xdr:rowOff>
    </xdr:to>
    <xdr:sp>
      <xdr:nvSpPr>
        <xdr:cNvPr id="134" name="Line 135"/>
        <xdr:cNvSpPr>
          <a:spLocks/>
        </xdr:cNvSpPr>
      </xdr:nvSpPr>
      <xdr:spPr>
        <a:xfrm>
          <a:off x="1362075" y="689133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389</xdr:row>
      <xdr:rowOff>161925</xdr:rowOff>
    </xdr:from>
    <xdr:to>
      <xdr:col>0</xdr:col>
      <xdr:colOff>314325</xdr:colOff>
      <xdr:row>390</xdr:row>
      <xdr:rowOff>161925</xdr:rowOff>
    </xdr:to>
    <xdr:sp>
      <xdr:nvSpPr>
        <xdr:cNvPr id="135" name="Line 136"/>
        <xdr:cNvSpPr>
          <a:spLocks/>
        </xdr:cNvSpPr>
      </xdr:nvSpPr>
      <xdr:spPr>
        <a:xfrm flipV="1">
          <a:off x="314325" y="68560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403</xdr:row>
      <xdr:rowOff>161925</xdr:rowOff>
    </xdr:from>
    <xdr:to>
      <xdr:col>0</xdr:col>
      <xdr:colOff>314325</xdr:colOff>
      <xdr:row>409</xdr:row>
      <xdr:rowOff>0</xdr:rowOff>
    </xdr:to>
    <xdr:sp>
      <xdr:nvSpPr>
        <xdr:cNvPr id="136" name="Line 137"/>
        <xdr:cNvSpPr>
          <a:spLocks/>
        </xdr:cNvSpPr>
      </xdr:nvSpPr>
      <xdr:spPr>
        <a:xfrm>
          <a:off x="314325" y="70970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401</xdr:row>
      <xdr:rowOff>152400</xdr:rowOff>
    </xdr:from>
    <xdr:to>
      <xdr:col>5</xdr:col>
      <xdr:colOff>9525</xdr:colOff>
      <xdr:row>401</xdr:row>
      <xdr:rowOff>152400</xdr:rowOff>
    </xdr:to>
    <xdr:sp>
      <xdr:nvSpPr>
        <xdr:cNvPr id="137" name="Line 138"/>
        <xdr:cNvSpPr>
          <a:spLocks/>
        </xdr:cNvSpPr>
      </xdr:nvSpPr>
      <xdr:spPr>
        <a:xfrm>
          <a:off x="990600" y="706278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401</xdr:row>
      <xdr:rowOff>0</xdr:rowOff>
    </xdr:from>
    <xdr:to>
      <xdr:col>6</xdr:col>
      <xdr:colOff>9525</xdr:colOff>
      <xdr:row>401</xdr:row>
      <xdr:rowOff>0</xdr:rowOff>
    </xdr:to>
    <xdr:sp>
      <xdr:nvSpPr>
        <xdr:cNvPr id="138" name="Line 139"/>
        <xdr:cNvSpPr>
          <a:spLocks/>
        </xdr:cNvSpPr>
      </xdr:nvSpPr>
      <xdr:spPr>
        <a:xfrm>
          <a:off x="371475" y="704754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405</xdr:row>
      <xdr:rowOff>0</xdr:rowOff>
    </xdr:from>
    <xdr:to>
      <xdr:col>2</xdr:col>
      <xdr:colOff>381000</xdr:colOff>
      <xdr:row>409</xdr:row>
      <xdr:rowOff>9525</xdr:rowOff>
    </xdr:to>
    <xdr:sp>
      <xdr:nvSpPr>
        <xdr:cNvPr id="139" name="Line 140"/>
        <xdr:cNvSpPr>
          <a:spLocks/>
        </xdr:cNvSpPr>
      </xdr:nvSpPr>
      <xdr:spPr>
        <a:xfrm>
          <a:off x="1362075" y="711517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402</xdr:row>
      <xdr:rowOff>161925</xdr:rowOff>
    </xdr:from>
    <xdr:to>
      <xdr:col>0</xdr:col>
      <xdr:colOff>314325</xdr:colOff>
      <xdr:row>403</xdr:row>
      <xdr:rowOff>161925</xdr:rowOff>
    </xdr:to>
    <xdr:sp>
      <xdr:nvSpPr>
        <xdr:cNvPr id="140" name="Line 141"/>
        <xdr:cNvSpPr>
          <a:spLocks/>
        </xdr:cNvSpPr>
      </xdr:nvSpPr>
      <xdr:spPr>
        <a:xfrm flipV="1">
          <a:off x="314325" y="7079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2"/>
  <sheetViews>
    <sheetView tabSelected="1" zoomScale="90" zoomScaleNormal="90" zoomScalePageLayoutView="0" workbookViewId="0" topLeftCell="A1">
      <selection activeCell="M20" sqref="M20"/>
    </sheetView>
  </sheetViews>
  <sheetFormatPr defaultColWidth="9.140625" defaultRowHeight="12.75"/>
  <cols>
    <col min="1" max="1" width="5.57421875" style="0" customWidth="1"/>
    <col min="4" max="4" width="4.57421875" style="0" customWidth="1"/>
    <col min="7" max="7" width="8.8515625" style="0" customWidth="1"/>
    <col min="9" max="9" width="12.140625" style="0" customWidth="1"/>
    <col min="12" max="13" width="7.140625" style="0" customWidth="1"/>
    <col min="14" max="14" width="10.8515625" style="0" customWidth="1"/>
    <col min="15" max="15" width="7.8515625" style="19" customWidth="1"/>
    <col min="16" max="16" width="4.7109375" style="19" customWidth="1"/>
    <col min="17" max="17" width="5.7109375" style="19" customWidth="1"/>
    <col min="18" max="21" width="6.7109375" style="19" customWidth="1"/>
  </cols>
  <sheetData>
    <row r="1" spans="1:28" ht="12.75">
      <c r="A1" s="15" t="s">
        <v>81</v>
      </c>
      <c r="H1" s="121" t="s">
        <v>116</v>
      </c>
      <c r="M1" s="36"/>
      <c r="N1" s="36"/>
      <c r="O1" s="36"/>
      <c r="P1" s="36"/>
      <c r="Q1"/>
      <c r="R1"/>
      <c r="S1"/>
      <c r="T1"/>
      <c r="U1"/>
      <c r="W1" s="110">
        <f>+G11*G12*G13*G14</f>
        <v>1</v>
      </c>
      <c r="X1" s="19" t="s">
        <v>108</v>
      </c>
      <c r="Y1" s="19"/>
      <c r="Z1" s="19"/>
      <c r="AA1" s="111">
        <f>+IF($H$6&lt;41000,33,+IF($H$6&lt;61000,30,28))</f>
        <v>30</v>
      </c>
      <c r="AB1" s="19"/>
    </row>
    <row r="2" spans="1:28" ht="12.75">
      <c r="A2" s="16" t="s">
        <v>17</v>
      </c>
      <c r="O2" s="36"/>
      <c r="P2" s="36"/>
      <c r="Q2"/>
      <c r="R2"/>
      <c r="S2"/>
      <c r="T2"/>
      <c r="W2" s="19"/>
      <c r="X2" s="19" t="s">
        <v>109</v>
      </c>
      <c r="Y2" s="19"/>
      <c r="Z2" s="19"/>
      <c r="AA2" s="111">
        <f>+IF($H$6&lt;41000,36,+IF($H$6&lt;61000,33,31))</f>
        <v>33</v>
      </c>
      <c r="AB2" s="19"/>
    </row>
    <row r="3" spans="1:28" ht="12.75">
      <c r="A3" s="16"/>
      <c r="Q3"/>
      <c r="R3"/>
      <c r="S3"/>
      <c r="T3"/>
      <c r="W3" s="19"/>
      <c r="X3" s="19"/>
      <c r="Y3" s="19"/>
      <c r="Z3" s="19"/>
      <c r="AA3" s="112">
        <f>IF(W1=1,+AA2,+AA1)</f>
        <v>33</v>
      </c>
      <c r="AB3" s="19"/>
    </row>
    <row r="4" spans="1:20" ht="12.75">
      <c r="A4" s="16"/>
      <c r="B4" s="19" t="s">
        <v>34</v>
      </c>
      <c r="C4" s="4" t="s">
        <v>112</v>
      </c>
      <c r="Q4"/>
      <c r="R4"/>
      <c r="S4"/>
      <c r="T4"/>
    </row>
    <row r="5" spans="1:10" ht="12.75">
      <c r="A5" s="16"/>
      <c r="B5" s="19" t="s">
        <v>68</v>
      </c>
      <c r="D5" s="113" t="s">
        <v>69</v>
      </c>
      <c r="E5" s="4">
        <v>4200</v>
      </c>
      <c r="F5" s="44" t="s">
        <v>72</v>
      </c>
      <c r="J5" s="2" t="s">
        <v>111</v>
      </c>
    </row>
    <row r="6" spans="1:9" ht="12.75" hidden="1">
      <c r="A6" s="16"/>
      <c r="B6" s="19"/>
      <c r="E6" s="41">
        <v>420</v>
      </c>
      <c r="F6" s="41" t="s">
        <v>70</v>
      </c>
      <c r="G6" s="42">
        <v>145.0377</v>
      </c>
      <c r="H6" s="43">
        <f>+E6*G6</f>
        <v>60915.834</v>
      </c>
      <c r="I6" s="41" t="s">
        <v>71</v>
      </c>
    </row>
    <row r="7" spans="1:10" ht="12.75">
      <c r="A7" s="16"/>
      <c r="B7" s="19" t="s">
        <v>35</v>
      </c>
      <c r="E7" s="33">
        <v>4.5</v>
      </c>
      <c r="F7" t="s">
        <v>41</v>
      </c>
      <c r="H7" s="36">
        <f>MIN(E7:E8)</f>
        <v>4.5</v>
      </c>
      <c r="I7">
        <f>IF(H7=E7,+H11,+H13)</f>
        <v>0.6</v>
      </c>
      <c r="J7" s="114">
        <f>+H7*I7</f>
        <v>2.6999999999999997</v>
      </c>
    </row>
    <row r="8" spans="1:7" ht="12.75">
      <c r="A8" s="16"/>
      <c r="B8" s="19" t="s">
        <v>36</v>
      </c>
      <c r="E8" s="33">
        <v>4.7</v>
      </c>
      <c r="F8" t="s">
        <v>41</v>
      </c>
      <c r="G8" s="31" t="str">
        <f>IF(+MAX(E7:E8)/+MIN(E7:E8)&gt;2,"LOSA UNIDIRECCIONAL"," ")</f>
        <v> </v>
      </c>
    </row>
    <row r="9" spans="1:7" ht="12.75">
      <c r="A9" s="16"/>
      <c r="B9" s="19"/>
      <c r="E9" s="33"/>
      <c r="G9" t="str">
        <f>IF(+MAX(E7:E8)/+MIN(E7:E8)&gt;2,"Esta planilla no sirve para este tipo de losas"," ")</f>
        <v> </v>
      </c>
    </row>
    <row r="10" spans="1:5" ht="12.75">
      <c r="A10" s="16"/>
      <c r="B10" s="19" t="s">
        <v>56</v>
      </c>
      <c r="E10" s="33"/>
    </row>
    <row r="11" spans="1:8" ht="12.75">
      <c r="A11" s="16"/>
      <c r="B11" s="19" t="s">
        <v>57</v>
      </c>
      <c r="E11" s="33">
        <v>3.3</v>
      </c>
      <c r="F11" t="s">
        <v>41</v>
      </c>
      <c r="G11" s="56">
        <f>IF(E11=0,0,1)</f>
        <v>1</v>
      </c>
      <c r="H11" s="36">
        <f>IF(G11+G12=0,1,+IF(G11+G12=1,0.8,+IF(G11+G12=2,0.6,"ERROR")))</f>
        <v>0.6</v>
      </c>
    </row>
    <row r="12" spans="1:8" ht="12.75">
      <c r="A12" s="16"/>
      <c r="B12" s="19" t="s">
        <v>58</v>
      </c>
      <c r="E12" s="33">
        <v>3.3</v>
      </c>
      <c r="F12" t="s">
        <v>41</v>
      </c>
      <c r="G12" s="56">
        <f>IF(E12=0,0,1)</f>
        <v>1</v>
      </c>
      <c r="H12" s="36"/>
    </row>
    <row r="13" spans="1:8" ht="12.75">
      <c r="A13" s="16"/>
      <c r="B13" s="19" t="s">
        <v>59</v>
      </c>
      <c r="E13" s="33">
        <v>4</v>
      </c>
      <c r="F13" t="s">
        <v>41</v>
      </c>
      <c r="G13" s="56">
        <f>IF(E13=0,0,1)</f>
        <v>1</v>
      </c>
      <c r="H13" s="36">
        <f>IF(G13+G14=0,1,+IF(G13+G14=1,0.8,+IF(G13+G14=2,0.6,"ERROR")))</f>
        <v>0.6</v>
      </c>
    </row>
    <row r="14" spans="1:7" ht="12.75">
      <c r="A14" s="16"/>
      <c r="B14" s="19" t="s">
        <v>60</v>
      </c>
      <c r="E14" s="33">
        <v>5</v>
      </c>
      <c r="F14" t="s">
        <v>41</v>
      </c>
      <c r="G14" s="56">
        <f>IF(E14=0,0,1)</f>
        <v>1</v>
      </c>
    </row>
    <row r="15" spans="1:5" ht="12.75">
      <c r="A15" s="16"/>
      <c r="B15" s="19"/>
      <c r="E15" s="33"/>
    </row>
    <row r="16" spans="1:6" ht="12.75">
      <c r="A16" s="16"/>
      <c r="B16" s="19" t="s">
        <v>40</v>
      </c>
      <c r="E16" s="57">
        <f>IF(+SUM(G11:G14)=0,0,+IF(+SUM(G11:G14)=4,2,1))</f>
        <v>2</v>
      </c>
      <c r="F16" s="32" t="s">
        <v>83</v>
      </c>
    </row>
    <row r="17" spans="1:6" ht="12.75">
      <c r="A17" s="16"/>
      <c r="B17" s="19"/>
      <c r="E17" s="2"/>
      <c r="F17" s="32" t="s">
        <v>84</v>
      </c>
    </row>
    <row r="18" spans="1:6" ht="12.75">
      <c r="A18" s="16"/>
      <c r="B18" s="19"/>
      <c r="E18" s="2"/>
      <c r="F18" s="32" t="s">
        <v>85</v>
      </c>
    </row>
    <row r="19" spans="1:6" ht="12.75">
      <c r="A19" s="16"/>
      <c r="B19" s="19"/>
      <c r="E19" s="4"/>
      <c r="F19" s="32"/>
    </row>
    <row r="20" spans="1:8" ht="12.75">
      <c r="A20" s="16"/>
      <c r="B20" s="19"/>
      <c r="E20" s="2" t="s">
        <v>45</v>
      </c>
      <c r="F20" s="2" t="s">
        <v>47</v>
      </c>
      <c r="G20" s="2"/>
      <c r="H20" s="34" t="s">
        <v>49</v>
      </c>
    </row>
    <row r="21" spans="1:8" ht="12.75">
      <c r="A21" s="16"/>
      <c r="B21" s="19"/>
      <c r="F21" s="2" t="s">
        <v>46</v>
      </c>
      <c r="H21" t="s">
        <v>50</v>
      </c>
    </row>
    <row r="22" spans="1:8" ht="12.75">
      <c r="A22" s="16"/>
      <c r="B22" s="19"/>
      <c r="E22" s="2" t="s">
        <v>38</v>
      </c>
      <c r="F22" s="2" t="s">
        <v>39</v>
      </c>
      <c r="H22" s="2" t="s">
        <v>48</v>
      </c>
    </row>
    <row r="23" spans="1:8" ht="12.75">
      <c r="A23" s="16"/>
      <c r="B23" s="19" t="s">
        <v>37</v>
      </c>
      <c r="E23" s="4">
        <f>+R1</f>
        <v>0</v>
      </c>
      <c r="F23" s="4">
        <v>50</v>
      </c>
      <c r="H23" s="4">
        <f>+T1</f>
        <v>0</v>
      </c>
    </row>
    <row r="24" spans="1:8" ht="12.75">
      <c r="A24" s="16"/>
      <c r="B24" s="19" t="s">
        <v>42</v>
      </c>
      <c r="E24" s="4">
        <f>+R2</f>
        <v>0</v>
      </c>
      <c r="F24" s="4">
        <v>50</v>
      </c>
      <c r="H24" s="4">
        <f>+T2</f>
        <v>0</v>
      </c>
    </row>
    <row r="25" spans="1:8" ht="12.75">
      <c r="A25" s="16"/>
      <c r="B25" s="19" t="s">
        <v>43</v>
      </c>
      <c r="E25" s="4">
        <f>+R3</f>
        <v>0</v>
      </c>
      <c r="F25" s="4">
        <v>45</v>
      </c>
      <c r="H25" s="4">
        <f>+T3</f>
        <v>0</v>
      </c>
    </row>
    <row r="26" spans="1:8" ht="12.75">
      <c r="A26" s="16"/>
      <c r="B26" s="19" t="s">
        <v>44</v>
      </c>
      <c r="E26" s="4">
        <f>+R4</f>
        <v>0</v>
      </c>
      <c r="F26" s="4">
        <v>45</v>
      </c>
      <c r="H26" s="4">
        <f>+T4</f>
        <v>0</v>
      </c>
    </row>
    <row r="27" spans="1:8" ht="12.75">
      <c r="A27" s="16"/>
      <c r="B27" s="19"/>
      <c r="E27" s="116" t="s">
        <v>3</v>
      </c>
      <c r="F27" s="116" t="s">
        <v>3</v>
      </c>
      <c r="H27" s="116" t="s">
        <v>3</v>
      </c>
    </row>
    <row r="28" spans="1:20" ht="15.75" thickBot="1">
      <c r="A28" s="16"/>
      <c r="B28" s="19" t="s">
        <v>78</v>
      </c>
      <c r="G28" s="49">
        <f>MAX(L29:L30)</f>
        <v>11</v>
      </c>
      <c r="H28" s="115" t="s">
        <v>113</v>
      </c>
      <c r="L28" s="54">
        <f>+MIN(E7:E8)*100/(+IF(E16=0,50,+IF(E16=1,55,+IF(E16=2,60,"err"))))</f>
        <v>7.5</v>
      </c>
      <c r="M28" s="54">
        <f>INT(L28)</f>
        <v>7</v>
      </c>
      <c r="N28" s="55">
        <f>IF(L28=M28,+L28+2,+M28+3)</f>
        <v>10</v>
      </c>
      <c r="O28" s="55">
        <f>IF(N28&lt;8,8,+N28)</f>
        <v>10</v>
      </c>
      <c r="P28"/>
      <c r="Q28" s="54">
        <f>+J7*2.85714285714286</f>
        <v>7.714285714285721</v>
      </c>
      <c r="R28" s="55">
        <f>INT(Q28)</f>
        <v>7</v>
      </c>
      <c r="S28" s="55">
        <f>IF(Q28=R28,+Q28+2,+R28+3)</f>
        <v>10</v>
      </c>
      <c r="T28" s="55">
        <f>IF(S28&lt;8,8,+S28)</f>
        <v>10</v>
      </c>
    </row>
    <row r="29" spans="1:13" ht="15.75" thickBot="1">
      <c r="A29" s="16"/>
      <c r="B29" s="45"/>
      <c r="C29" s="45"/>
      <c r="E29" s="120" t="s">
        <v>114</v>
      </c>
      <c r="F29" s="117" t="s">
        <v>82</v>
      </c>
      <c r="G29" s="118">
        <f>+Y362</f>
        <v>14</v>
      </c>
      <c r="H29" s="119" t="s">
        <v>3</v>
      </c>
      <c r="I29" s="115" t="s">
        <v>115</v>
      </c>
      <c r="K29" s="54" t="s">
        <v>80</v>
      </c>
      <c r="L29" s="54">
        <f>+O28</f>
        <v>10</v>
      </c>
      <c r="M29" s="54" t="s">
        <v>3</v>
      </c>
    </row>
    <row r="30" spans="1:13" ht="12.75">
      <c r="A30" s="16"/>
      <c r="B30" s="19"/>
      <c r="K30" s="54" t="s">
        <v>79</v>
      </c>
      <c r="L30" s="54">
        <f>IF(+(INT(200*(E36+E37)/180)+1)&lt;9,9,+INT(200*(E36+E37)/180)+1)</f>
        <v>11</v>
      </c>
      <c r="M30" s="54" t="s">
        <v>3</v>
      </c>
    </row>
    <row r="31" spans="1:24" ht="15.75">
      <c r="A31" s="16"/>
      <c r="B31" s="19" t="s">
        <v>52</v>
      </c>
      <c r="E31" s="37" t="s">
        <v>63</v>
      </c>
      <c r="F31" s="36">
        <f>+X364</f>
        <v>0.18461538461538463</v>
      </c>
      <c r="K31" s="54" t="s">
        <v>110</v>
      </c>
      <c r="L31" s="54">
        <f>+T28</f>
        <v>10</v>
      </c>
      <c r="M31" s="54" t="s">
        <v>3</v>
      </c>
      <c r="S31"/>
      <c r="X31" s="19"/>
    </row>
    <row r="32" spans="1:24" ht="21" customHeight="1" thickBot="1">
      <c r="A32" s="16"/>
      <c r="B32" s="19" t="s">
        <v>53</v>
      </c>
      <c r="E32" s="37" t="s">
        <v>64</v>
      </c>
      <c r="F32" s="36">
        <f>+X365</f>
        <v>0.18461538461538463</v>
      </c>
      <c r="S32"/>
      <c r="X32" s="19"/>
    </row>
    <row r="33" spans="1:24" ht="17.25" thickBot="1" thickTop="1">
      <c r="A33" s="16"/>
      <c r="B33" s="19" t="s">
        <v>54</v>
      </c>
      <c r="E33" s="37" t="s">
        <v>65</v>
      </c>
      <c r="F33" s="36">
        <f>+X366</f>
        <v>0.1425287356321839</v>
      </c>
      <c r="G33" s="5" t="s">
        <v>51</v>
      </c>
      <c r="H33" s="6">
        <f>SUM(F31:F34)/4</f>
        <v>0.15989863910233623</v>
      </c>
      <c r="S33"/>
      <c r="X33" s="19"/>
    </row>
    <row r="34" spans="1:24" ht="16.5" thickTop="1">
      <c r="A34" s="16"/>
      <c r="B34" s="19" t="s">
        <v>55</v>
      </c>
      <c r="E34" s="37" t="s">
        <v>66</v>
      </c>
      <c r="F34" s="36">
        <f>+X367</f>
        <v>0.12783505154639177</v>
      </c>
      <c r="S34"/>
      <c r="X34" s="19"/>
    </row>
    <row r="35" spans="1:24" ht="12.75">
      <c r="A35" s="16"/>
      <c r="S35"/>
      <c r="X35" s="19"/>
    </row>
    <row r="36" spans="1:24" ht="12.75">
      <c r="A36" s="16"/>
      <c r="B36" s="19" t="s">
        <v>61</v>
      </c>
      <c r="E36" s="39">
        <f>E7-E23/200-E24/200</f>
        <v>4.5</v>
      </c>
      <c r="F36" t="s">
        <v>41</v>
      </c>
      <c r="X36" s="19"/>
    </row>
    <row r="37" spans="1:24" ht="12.75">
      <c r="A37" s="16"/>
      <c r="B37" s="19" t="s">
        <v>62</v>
      </c>
      <c r="E37" s="39">
        <f>E8-E25/200-E26/200</f>
        <v>4.7</v>
      </c>
      <c r="F37" t="s">
        <v>41</v>
      </c>
      <c r="X37" s="19"/>
    </row>
    <row r="38" spans="1:24" ht="15.75">
      <c r="A38" s="16"/>
      <c r="D38" s="40" t="s">
        <v>67</v>
      </c>
      <c r="E38" s="36">
        <f>MAX(E36:E37)/+MIN(E36:E37)</f>
        <v>1.0444444444444445</v>
      </c>
      <c r="X38" s="19"/>
    </row>
    <row r="39" spans="1:24" ht="12.75">
      <c r="A39" s="16"/>
      <c r="D39" t="s">
        <v>76</v>
      </c>
      <c r="E39" s="36">
        <f>MAX(E36:E37)</f>
        <v>4.7</v>
      </c>
      <c r="F39" t="s">
        <v>41</v>
      </c>
      <c r="X39" s="19"/>
    </row>
    <row r="40" spans="1:24" ht="12.75">
      <c r="A40" s="16"/>
      <c r="X40" s="19"/>
    </row>
    <row r="41" ht="15.75">
      <c r="A41" s="15" t="s">
        <v>16</v>
      </c>
    </row>
    <row r="42" ht="13.5" thickBot="1">
      <c r="A42" s="16"/>
    </row>
    <row r="43" spans="1:28" ht="15.75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30"/>
      <c r="Q43" s="30"/>
      <c r="R43" s="30"/>
      <c r="S43" s="30"/>
      <c r="T43" s="30"/>
      <c r="U43" s="30"/>
      <c r="V43" s="29"/>
      <c r="W43" s="50"/>
      <c r="X43" s="74" t="s">
        <v>82</v>
      </c>
      <c r="Y43" s="75">
        <f>ROUND(IF(Z47&lt;0.2,+W56,+IF(Z47&lt;2,+X56,+Y56))*AB43,0)</f>
        <v>14</v>
      </c>
      <c r="Z43" s="76" t="s">
        <v>3</v>
      </c>
      <c r="AB43">
        <f>IF(Z47&lt;0.2,1,+AB44)</f>
        <v>1</v>
      </c>
    </row>
    <row r="44" spans="2:28" ht="12.75">
      <c r="B44" s="122">
        <f>IF(J47=0,+K47/2+D46/2,+IF(K47=0,+J47/2+D46/2,+(J47+K47)/2))</f>
        <v>390</v>
      </c>
      <c r="C44" s="122"/>
      <c r="D44" s="122"/>
      <c r="E44" s="122"/>
      <c r="F44" s="122"/>
      <c r="W44" s="2" t="s">
        <v>104</v>
      </c>
      <c r="X44">
        <f>+$G$28</f>
        <v>11</v>
      </c>
      <c r="Y44" t="s">
        <v>3</v>
      </c>
      <c r="AB44" s="31">
        <f>MAX(AB45:AB48)</f>
        <v>1</v>
      </c>
    </row>
    <row r="45" spans="3:28" ht="15.75">
      <c r="C45" s="122">
        <f>SUM(C46:E46)</f>
        <v>78</v>
      </c>
      <c r="D45" s="122"/>
      <c r="E45" s="122"/>
      <c r="H45" s="31" t="s">
        <v>30</v>
      </c>
      <c r="S45" s="77"/>
      <c r="W45" s="37" t="s">
        <v>63</v>
      </c>
      <c r="X45" s="36">
        <f>+J54</f>
        <v>0.2</v>
      </c>
      <c r="AA45">
        <f>+$G$11</f>
        <v>1</v>
      </c>
      <c r="AB45">
        <f>IF(AA45=1,1,+IF(X45&gt;=0.8,1,1.1))</f>
        <v>1</v>
      </c>
    </row>
    <row r="46" spans="3:28" ht="16.5" thickBot="1">
      <c r="C46" s="8">
        <f>IF(J47=0,0,+IF(C50&gt;4*G48,4*G48,+C50))</f>
        <v>39</v>
      </c>
      <c r="D46" s="8">
        <f>+J50</f>
        <v>0</v>
      </c>
      <c r="E46" s="8">
        <f>IF(K47=0,0,+IF(C50&gt;4*G48,4*G48,+C50))</f>
        <v>39</v>
      </c>
      <c r="J46" s="2" t="s">
        <v>14</v>
      </c>
      <c r="K46" s="2" t="s">
        <v>15</v>
      </c>
      <c r="W46" s="37" t="s">
        <v>64</v>
      </c>
      <c r="X46" s="36">
        <f>+J67</f>
        <v>0.2</v>
      </c>
      <c r="AA46">
        <f>+$G$12</f>
        <v>1</v>
      </c>
      <c r="AB46">
        <f>IF(AA46=1,1,+IF(X46&gt;=0.8,1,1.1))</f>
        <v>1</v>
      </c>
    </row>
    <row r="47" spans="1:28" ht="17.25" thickBot="1" thickTop="1">
      <c r="A47" s="1">
        <f>+J49</f>
        <v>0</v>
      </c>
      <c r="D47" s="18"/>
      <c r="H47" t="s">
        <v>13</v>
      </c>
      <c r="J47" s="35">
        <f>+$E$11*100</f>
        <v>330</v>
      </c>
      <c r="K47" s="35">
        <f>+$E$7*100</f>
        <v>450</v>
      </c>
      <c r="L47" t="s">
        <v>3</v>
      </c>
      <c r="O47" s="21" t="s">
        <v>4</v>
      </c>
      <c r="P47" s="21" t="s">
        <v>5</v>
      </c>
      <c r="Q47" s="21" t="s">
        <v>6</v>
      </c>
      <c r="R47" s="21" t="s">
        <v>7</v>
      </c>
      <c r="S47" s="21" t="s">
        <v>8</v>
      </c>
      <c r="T47" s="21" t="s">
        <v>19</v>
      </c>
      <c r="U47" s="21" t="s">
        <v>20</v>
      </c>
      <c r="V47" s="20"/>
      <c r="W47" s="37" t="s">
        <v>65</v>
      </c>
      <c r="X47" s="36">
        <f>+J80</f>
        <v>0.15632183908045977</v>
      </c>
      <c r="Y47" s="5" t="s">
        <v>51</v>
      </c>
      <c r="Z47" s="6">
        <f>SUM(X45:X48)/4</f>
        <v>0.17413200616186753</v>
      </c>
      <c r="AA47">
        <f>+$G$13</f>
        <v>1</v>
      </c>
      <c r="AB47">
        <f>IF(AA47=1,1,+IF(X47&gt;=0.8,1,1.1))</f>
        <v>1</v>
      </c>
    </row>
    <row r="48" spans="2:28" ht="17.25" thickBot="1" thickTop="1">
      <c r="B48" s="13"/>
      <c r="C48" s="9"/>
      <c r="D48" s="17"/>
      <c r="E48" s="10"/>
      <c r="F48" s="14"/>
      <c r="G48" s="7">
        <f>+J51</f>
        <v>11</v>
      </c>
      <c r="H48" t="s">
        <v>0</v>
      </c>
      <c r="J48" s="35">
        <f>+$F$23</f>
        <v>50</v>
      </c>
      <c r="K48" t="s">
        <v>3</v>
      </c>
      <c r="N48" s="20" t="s">
        <v>24</v>
      </c>
      <c r="O48" s="20">
        <f>+D53</f>
        <v>0</v>
      </c>
      <c r="P48" s="20">
        <f>+C50</f>
        <v>39</v>
      </c>
      <c r="Q48" s="22">
        <f>+O48*P48</f>
        <v>0</v>
      </c>
      <c r="R48" s="23">
        <f>+G48+C50/2</f>
        <v>30.5</v>
      </c>
      <c r="S48" s="22">
        <f>+Q48*R48</f>
        <v>0</v>
      </c>
      <c r="T48" s="22">
        <f>+O48*(P48^3)/12</f>
        <v>0</v>
      </c>
      <c r="U48" s="22">
        <f>+Q48*(S52-R48)^2</f>
        <v>0</v>
      </c>
      <c r="V48" s="20"/>
      <c r="W48" s="37" t="s">
        <v>66</v>
      </c>
      <c r="X48" s="36">
        <f>+J93</f>
        <v>0.1402061855670103</v>
      </c>
      <c r="AA48">
        <f>+$G$14</f>
        <v>1</v>
      </c>
      <c r="AB48">
        <f>IF(AA48=1,1,+IF(X48&gt;=0.8,1,1.1))</f>
        <v>1</v>
      </c>
    </row>
    <row r="49" spans="4:26" ht="15.75">
      <c r="D49" s="11"/>
      <c r="H49" t="s">
        <v>18</v>
      </c>
      <c r="J49" s="35">
        <f>+$H$23</f>
        <v>0</v>
      </c>
      <c r="K49" t="s">
        <v>3</v>
      </c>
      <c r="N49" s="20" t="s">
        <v>23</v>
      </c>
      <c r="O49" s="20">
        <f>+D53</f>
        <v>0</v>
      </c>
      <c r="P49" s="20">
        <f>+A47</f>
        <v>0</v>
      </c>
      <c r="Q49" s="22">
        <f>+O49*P49</f>
        <v>0</v>
      </c>
      <c r="R49" s="23">
        <f>-A47/2</f>
        <v>0</v>
      </c>
      <c r="S49" s="22">
        <f>+Q49*R49</f>
        <v>0</v>
      </c>
      <c r="T49" s="22">
        <f>+O49*(P49^3)/12</f>
        <v>0</v>
      </c>
      <c r="U49" s="22">
        <f>+Q49*(S52-R49)^2</f>
        <v>0</v>
      </c>
      <c r="V49" s="20"/>
      <c r="W49" s="46" t="s">
        <v>77</v>
      </c>
      <c r="Z49" s="38"/>
    </row>
    <row r="50" spans="1:25" ht="12.75">
      <c r="A50" s="1">
        <f>+J48-J49</f>
        <v>50</v>
      </c>
      <c r="C50" s="1">
        <f>+A50-G48</f>
        <v>39</v>
      </c>
      <c r="D50" s="11"/>
      <c r="H50" t="s">
        <v>1</v>
      </c>
      <c r="J50" s="35">
        <f>+$E$23</f>
        <v>0</v>
      </c>
      <c r="K50" t="s">
        <v>3</v>
      </c>
      <c r="N50" s="20" t="s">
        <v>22</v>
      </c>
      <c r="O50" s="20">
        <f>+C45</f>
        <v>78</v>
      </c>
      <c r="P50" s="20">
        <f>+G48</f>
        <v>11</v>
      </c>
      <c r="Q50" s="22">
        <f>+O50*P50</f>
        <v>858</v>
      </c>
      <c r="R50" s="23">
        <f>+G48/2</f>
        <v>5.5</v>
      </c>
      <c r="S50" s="22">
        <f>+Q50*R50</f>
        <v>4719</v>
      </c>
      <c r="T50" s="22">
        <f>+O50*(P50^3)/12</f>
        <v>8651.5</v>
      </c>
      <c r="U50" s="22">
        <f>+Q50*(S52-R50)^2</f>
        <v>0</v>
      </c>
      <c r="V50" s="20"/>
      <c r="W50" s="47" t="s">
        <v>73</v>
      </c>
      <c r="X50" s="47" t="s">
        <v>74</v>
      </c>
      <c r="Y50" s="47" t="s">
        <v>75</v>
      </c>
    </row>
    <row r="51" spans="4:25" ht="12.75">
      <c r="D51" s="11"/>
      <c r="H51" t="s">
        <v>2</v>
      </c>
      <c r="J51" s="35">
        <f>+$G$28</f>
        <v>11</v>
      </c>
      <c r="K51" t="s">
        <v>3</v>
      </c>
      <c r="N51" s="20"/>
      <c r="O51" s="20"/>
      <c r="P51" s="20"/>
      <c r="Q51" s="24">
        <f>SUM(Q48:Q50)</f>
        <v>858</v>
      </c>
      <c r="R51" s="20"/>
      <c r="S51" s="24">
        <f>SUM(S48:S50)</f>
        <v>4719</v>
      </c>
      <c r="T51" s="24">
        <f>SUM(T48:T50)</f>
        <v>8651.5</v>
      </c>
      <c r="U51" s="24">
        <f>SUM(U48:U50)</f>
        <v>0</v>
      </c>
      <c r="V51" s="20"/>
      <c r="W51" s="42">
        <f>$E$39/$AA$3*100</f>
        <v>14.242424242424242</v>
      </c>
      <c r="X51" s="42">
        <f>(+$E$39*100*(0.8+$H$6/200000))/(36+5*$E$38*(Z47-0.2))</f>
        <v>14.475212315246585</v>
      </c>
      <c r="Y51" s="42">
        <f>(+$E$39*100*(0.8+$H$6/200000))/(36+9*$E$38)</f>
        <v>11.435070702643172</v>
      </c>
    </row>
    <row r="52" spans="4:25" ht="13.5" thickBot="1">
      <c r="D52" s="12"/>
      <c r="H52" t="s">
        <v>10</v>
      </c>
      <c r="J52" s="3">
        <f>+T51+U51</f>
        <v>8651.5</v>
      </c>
      <c r="K52" t="s">
        <v>11</v>
      </c>
      <c r="N52" s="20"/>
      <c r="O52" s="20"/>
      <c r="P52" s="20"/>
      <c r="Q52" s="20"/>
      <c r="R52" s="21" t="s">
        <v>9</v>
      </c>
      <c r="S52" s="23">
        <f>+S51/Q51</f>
        <v>5.5</v>
      </c>
      <c r="T52" s="20"/>
      <c r="U52" s="20"/>
      <c r="V52" s="20"/>
      <c r="W52" s="41">
        <f>INT(W51)</f>
        <v>14</v>
      </c>
      <c r="X52" s="41">
        <f>INT(X51)</f>
        <v>14</v>
      </c>
      <c r="Y52" s="41">
        <f>INT(Y51)</f>
        <v>11</v>
      </c>
    </row>
    <row r="53" spans="4:25" ht="13.5" thickBot="1">
      <c r="D53" s="1">
        <f>+J50</f>
        <v>0</v>
      </c>
      <c r="H53" t="s">
        <v>12</v>
      </c>
      <c r="J53" s="3">
        <f>+T53</f>
        <v>43257.5</v>
      </c>
      <c r="K53" t="s">
        <v>11</v>
      </c>
      <c r="N53" s="20" t="s">
        <v>21</v>
      </c>
      <c r="O53" s="20">
        <f>+B44</f>
        <v>390</v>
      </c>
      <c r="P53" s="20">
        <f>+J51</f>
        <v>11</v>
      </c>
      <c r="Q53" s="22">
        <f>+O53*P53</f>
        <v>4290</v>
      </c>
      <c r="R53" s="23"/>
      <c r="S53" s="22"/>
      <c r="T53" s="22">
        <f>+O53*(P53^3)/12</f>
        <v>43257.5</v>
      </c>
      <c r="U53" s="20"/>
      <c r="V53" s="20"/>
      <c r="W53" s="42">
        <f>+W51-W52</f>
        <v>0.2424242424242422</v>
      </c>
      <c r="X53" s="42">
        <f>+X51-X52</f>
        <v>0.47521231524658525</v>
      </c>
      <c r="Y53" s="42">
        <f>+Y51-Y52</f>
        <v>0.4350707026431717</v>
      </c>
    </row>
    <row r="54" spans="9:25" ht="17.25" thickBot="1" thickTop="1">
      <c r="I54" s="5" t="s">
        <v>26</v>
      </c>
      <c r="J54" s="6">
        <f>IF(J48=0,0,+J52/J53)</f>
        <v>0.2</v>
      </c>
      <c r="W54" s="48">
        <f>IF(W53&gt;0.39,+W52+1,+W52)</f>
        <v>14</v>
      </c>
      <c r="X54" s="48">
        <f>IF(X53&gt;0.39,+X52+1,+X52)</f>
        <v>15</v>
      </c>
      <c r="Y54" s="48">
        <f>IF(Y53&gt;0.39,+Y52+1,+Y52)</f>
        <v>12</v>
      </c>
    </row>
    <row r="55" spans="1:28" ht="18.75" customHeight="1" thickTop="1">
      <c r="A55" s="25"/>
      <c r="B55" s="25"/>
      <c r="C55" s="25"/>
      <c r="D55" s="25"/>
      <c r="E55" s="25"/>
      <c r="F55" s="25"/>
      <c r="G55" s="25"/>
      <c r="H55" s="26" t="s">
        <v>25</v>
      </c>
      <c r="I55" s="25"/>
      <c r="J55" s="25"/>
      <c r="K55" s="25"/>
      <c r="L55" s="25"/>
      <c r="M55" s="25"/>
      <c r="N55" s="25"/>
      <c r="O55" s="27"/>
      <c r="P55" s="27"/>
      <c r="Q55" s="27"/>
      <c r="R55" s="27"/>
      <c r="S55" s="27"/>
      <c r="T55" s="27"/>
      <c r="U55" s="27"/>
      <c r="V55" s="25"/>
      <c r="W55" s="41">
        <f>5*2.54</f>
        <v>12.7</v>
      </c>
      <c r="X55" s="41">
        <f>5*2.54</f>
        <v>12.7</v>
      </c>
      <c r="Y55" s="41">
        <f>3.5*2.54</f>
        <v>8.89</v>
      </c>
      <c r="AB55" s="41"/>
    </row>
    <row r="56" spans="23:28" ht="12.75">
      <c r="W56" s="48">
        <f>IF(W54&lt;W55,+ROUND(W55,0),+W54)</f>
        <v>14</v>
      </c>
      <c r="X56" s="48">
        <f>IF(X54&lt;X55,+ROUND(X55,0),+X54)</f>
        <v>15</v>
      </c>
      <c r="Y56" s="48">
        <f>IF(Y54&lt;Y55,+ROUND(Y55,0),+Y54)</f>
        <v>12</v>
      </c>
      <c r="AB56" s="41"/>
    </row>
    <row r="57" spans="2:28" ht="12.75">
      <c r="B57" s="122">
        <f>IF(J60=0,+K60/2+D59/2,+IF(K60=0,+J60/2+D59/2,+(J60+K60)/2))</f>
        <v>390</v>
      </c>
      <c r="C57" s="122"/>
      <c r="D57" s="122"/>
      <c r="E57" s="122"/>
      <c r="F57" s="122"/>
      <c r="W57" s="41"/>
      <c r="AB57" s="41"/>
    </row>
    <row r="58" spans="3:28" ht="12.75">
      <c r="C58" s="122">
        <f>SUM(C59:E59)</f>
        <v>78</v>
      </c>
      <c r="D58" s="122"/>
      <c r="E58" s="122"/>
      <c r="H58" s="31" t="s">
        <v>31</v>
      </c>
      <c r="W58" s="41"/>
      <c r="AB58" s="41"/>
    </row>
    <row r="59" spans="3:28" ht="13.5" thickBot="1">
      <c r="C59" s="8">
        <f>IF(J60=0,0,+IF(C63&gt;4*G61,4*G61,+C63))</f>
        <v>39</v>
      </c>
      <c r="D59" s="8">
        <f>+J63</f>
        <v>0</v>
      </c>
      <c r="E59" s="8">
        <f>IF(K60=0,0,+IF(C63&gt;4*G61,4*G61,+C63))</f>
        <v>39</v>
      </c>
      <c r="J59" s="2" t="s">
        <v>14</v>
      </c>
      <c r="K59" s="2" t="s">
        <v>15</v>
      </c>
      <c r="W59" s="41"/>
      <c r="AB59" s="41"/>
    </row>
    <row r="60" spans="1:28" ht="13.5" thickBot="1">
      <c r="A60" s="1">
        <f>+J62</f>
        <v>0</v>
      </c>
      <c r="D60" s="18"/>
      <c r="H60" t="s">
        <v>13</v>
      </c>
      <c r="J60" s="35">
        <f>+$E$7*100</f>
        <v>450</v>
      </c>
      <c r="K60" s="35">
        <f>+$E$12*100</f>
        <v>330</v>
      </c>
      <c r="L60" t="s">
        <v>3</v>
      </c>
      <c r="O60" s="21" t="s">
        <v>4</v>
      </c>
      <c r="P60" s="21" t="s">
        <v>5</v>
      </c>
      <c r="Q60" s="21" t="s">
        <v>6</v>
      </c>
      <c r="R60" s="21" t="s">
        <v>7</v>
      </c>
      <c r="S60" s="21" t="s">
        <v>8</v>
      </c>
      <c r="T60" s="21" t="s">
        <v>19</v>
      </c>
      <c r="U60" s="21" t="s">
        <v>20</v>
      </c>
      <c r="V60" s="20"/>
      <c r="W60" s="41"/>
      <c r="AB60" s="41"/>
    </row>
    <row r="61" spans="2:28" ht="13.5" thickBot="1">
      <c r="B61" s="13"/>
      <c r="C61" s="9"/>
      <c r="D61" s="17"/>
      <c r="E61" s="10"/>
      <c r="F61" s="14"/>
      <c r="G61" s="7">
        <f>+J64</f>
        <v>11</v>
      </c>
      <c r="H61" t="s">
        <v>0</v>
      </c>
      <c r="J61" s="35">
        <f>+$F$24</f>
        <v>50</v>
      </c>
      <c r="K61" t="s">
        <v>3</v>
      </c>
      <c r="N61" s="20" t="s">
        <v>24</v>
      </c>
      <c r="O61" s="20">
        <f>+D66</f>
        <v>0</v>
      </c>
      <c r="P61" s="20">
        <f>+C63</f>
        <v>39</v>
      </c>
      <c r="Q61" s="22">
        <f>+O61*P61</f>
        <v>0</v>
      </c>
      <c r="R61" s="23">
        <f>+G61+C63/2</f>
        <v>30.5</v>
      </c>
      <c r="S61" s="22">
        <f>+Q61*R61</f>
        <v>0</v>
      </c>
      <c r="T61" s="22">
        <f>+O61*(P61^3)/12</f>
        <v>0</v>
      </c>
      <c r="U61" s="22">
        <f>+Q61*(S65-R61)^2</f>
        <v>0</v>
      </c>
      <c r="V61" s="20"/>
      <c r="W61" s="41"/>
      <c r="AB61" s="41"/>
    </row>
    <row r="62" spans="4:22" ht="12.75">
      <c r="D62" s="11"/>
      <c r="H62" t="s">
        <v>18</v>
      </c>
      <c r="J62" s="35">
        <f>+$H$24</f>
        <v>0</v>
      </c>
      <c r="K62" t="s">
        <v>3</v>
      </c>
      <c r="N62" s="20" t="s">
        <v>23</v>
      </c>
      <c r="O62" s="20">
        <f>+D66</f>
        <v>0</v>
      </c>
      <c r="P62" s="20">
        <f>+A60</f>
        <v>0</v>
      </c>
      <c r="Q62" s="22">
        <f>+O62*P62</f>
        <v>0</v>
      </c>
      <c r="R62" s="23">
        <f>-A60/2</f>
        <v>0</v>
      </c>
      <c r="S62" s="22">
        <f>+Q62*R62</f>
        <v>0</v>
      </c>
      <c r="T62" s="22">
        <f>+O62*(P62^3)/12</f>
        <v>0</v>
      </c>
      <c r="U62" s="22">
        <f>+Q62*(S65-R62)^2</f>
        <v>0</v>
      </c>
      <c r="V62" s="20"/>
    </row>
    <row r="63" spans="1:22" ht="12.75">
      <c r="A63" s="1">
        <f>+J61-J62</f>
        <v>50</v>
      </c>
      <c r="C63" s="1">
        <f>+A63-G61</f>
        <v>39</v>
      </c>
      <c r="D63" s="11"/>
      <c r="H63" t="s">
        <v>1</v>
      </c>
      <c r="J63" s="35">
        <f>+$E$24</f>
        <v>0</v>
      </c>
      <c r="K63" t="s">
        <v>3</v>
      </c>
      <c r="N63" s="20" t="s">
        <v>22</v>
      </c>
      <c r="O63" s="20">
        <f>+C58</f>
        <v>78</v>
      </c>
      <c r="P63" s="20">
        <f>+G61</f>
        <v>11</v>
      </c>
      <c r="Q63" s="22">
        <f>+O63*P63</f>
        <v>858</v>
      </c>
      <c r="R63" s="23">
        <f>+G61/2</f>
        <v>5.5</v>
      </c>
      <c r="S63" s="22">
        <f>+Q63*R63</f>
        <v>4719</v>
      </c>
      <c r="T63" s="22">
        <f>+O63*(P63^3)/12</f>
        <v>8651.5</v>
      </c>
      <c r="U63" s="22">
        <f>+Q63*(S65-R63)^2</f>
        <v>0</v>
      </c>
      <c r="V63" s="20"/>
    </row>
    <row r="64" spans="4:22" ht="12.75">
      <c r="D64" s="11"/>
      <c r="H64" t="s">
        <v>2</v>
      </c>
      <c r="J64" s="35">
        <f>+$G$28</f>
        <v>11</v>
      </c>
      <c r="K64" t="s">
        <v>3</v>
      </c>
      <c r="N64" s="20"/>
      <c r="O64" s="20"/>
      <c r="P64" s="20"/>
      <c r="Q64" s="24">
        <f>SUM(Q61:Q63)</f>
        <v>858</v>
      </c>
      <c r="R64" s="20"/>
      <c r="S64" s="24">
        <f>SUM(S61:S63)</f>
        <v>4719</v>
      </c>
      <c r="T64" s="24">
        <f>SUM(T61:T63)</f>
        <v>8651.5</v>
      </c>
      <c r="U64" s="24">
        <f>SUM(U61:U63)</f>
        <v>0</v>
      </c>
      <c r="V64" s="20"/>
    </row>
    <row r="65" spans="4:22" ht="13.5" thickBot="1">
      <c r="D65" s="12"/>
      <c r="H65" t="s">
        <v>10</v>
      </c>
      <c r="J65" s="3">
        <f>+T64+U64</f>
        <v>8651.5</v>
      </c>
      <c r="K65" t="s">
        <v>11</v>
      </c>
      <c r="N65" s="20"/>
      <c r="O65" s="20"/>
      <c r="P65" s="20"/>
      <c r="Q65" s="20"/>
      <c r="R65" s="21" t="s">
        <v>9</v>
      </c>
      <c r="S65" s="23">
        <f>+S64/Q64</f>
        <v>5.5</v>
      </c>
      <c r="T65" s="20"/>
      <c r="U65" s="20"/>
      <c r="V65" s="20"/>
    </row>
    <row r="66" spans="4:22" ht="13.5" thickBot="1">
      <c r="D66" s="1">
        <f>+J63</f>
        <v>0</v>
      </c>
      <c r="H66" t="s">
        <v>12</v>
      </c>
      <c r="J66" s="3">
        <f>+T66</f>
        <v>43257.5</v>
      </c>
      <c r="K66" t="s">
        <v>11</v>
      </c>
      <c r="N66" s="20" t="s">
        <v>21</v>
      </c>
      <c r="O66" s="20">
        <f>+B57</f>
        <v>390</v>
      </c>
      <c r="P66" s="20">
        <f>+J64</f>
        <v>11</v>
      </c>
      <c r="Q66" s="22">
        <f>+O66*P66</f>
        <v>4290</v>
      </c>
      <c r="R66" s="23"/>
      <c r="S66" s="22"/>
      <c r="T66" s="22">
        <f>+O66*(P66^3)/12</f>
        <v>43257.5</v>
      </c>
      <c r="U66" s="20"/>
      <c r="V66" s="20"/>
    </row>
    <row r="67" spans="9:10" ht="17.25" thickBot="1" thickTop="1">
      <c r="I67" s="5" t="s">
        <v>27</v>
      </c>
      <c r="J67" s="6">
        <f>IF(J61=0,0,+J65/J66)</f>
        <v>0.2</v>
      </c>
    </row>
    <row r="68" spans="1:22" ht="18.75" customHeight="1" thickTop="1">
      <c r="A68" s="25"/>
      <c r="B68" s="25"/>
      <c r="C68" s="25"/>
      <c r="D68" s="25"/>
      <c r="E68" s="25"/>
      <c r="F68" s="25"/>
      <c r="G68" s="25"/>
      <c r="H68" s="26" t="s">
        <v>25</v>
      </c>
      <c r="I68" s="25"/>
      <c r="J68" s="25"/>
      <c r="K68" s="25"/>
      <c r="L68" s="25"/>
      <c r="M68" s="25"/>
      <c r="N68" s="25"/>
      <c r="O68" s="27"/>
      <c r="P68" s="27"/>
      <c r="Q68" s="27"/>
      <c r="R68" s="27"/>
      <c r="S68" s="27"/>
      <c r="T68" s="27"/>
      <c r="U68" s="27"/>
      <c r="V68" s="25"/>
    </row>
    <row r="70" spans="2:6" ht="12.75">
      <c r="B70" s="122">
        <f>IF(J73=0,+K73/2+D72/2,+IF(K73=0,+J73/2+D72/2,+(J73+K73)/2))</f>
        <v>435</v>
      </c>
      <c r="C70" s="122"/>
      <c r="D70" s="122"/>
      <c r="E70" s="122"/>
      <c r="F70" s="122"/>
    </row>
    <row r="71" spans="3:8" ht="12.75">
      <c r="C71" s="122">
        <f>SUM(C72:E72)</f>
        <v>68</v>
      </c>
      <c r="D71" s="122"/>
      <c r="E71" s="122"/>
      <c r="H71" s="31" t="s">
        <v>32</v>
      </c>
    </row>
    <row r="72" spans="3:11" ht="13.5" thickBot="1">
      <c r="C72" s="8">
        <f>IF(J73=0,0,+IF(C76&gt;4*G74,4*G74,+C76))</f>
        <v>34</v>
      </c>
      <c r="D72" s="8">
        <f>+J76</f>
        <v>0</v>
      </c>
      <c r="E72" s="8">
        <f>IF(K73=0,0,+IF(C76&gt;4*G74,4*G74,+C76))</f>
        <v>34</v>
      </c>
      <c r="J72" s="2" t="s">
        <v>14</v>
      </c>
      <c r="K72" s="2" t="s">
        <v>15</v>
      </c>
    </row>
    <row r="73" spans="1:22" ht="13.5" thickBot="1">
      <c r="A73" s="1">
        <f>+J75</f>
        <v>0</v>
      </c>
      <c r="D73" s="18"/>
      <c r="H73" t="s">
        <v>13</v>
      </c>
      <c r="J73" s="35">
        <f>+$E$13*100</f>
        <v>400</v>
      </c>
      <c r="K73" s="35">
        <f>+$E$8*100</f>
        <v>470</v>
      </c>
      <c r="L73" t="s">
        <v>3</v>
      </c>
      <c r="O73" s="21" t="s">
        <v>4</v>
      </c>
      <c r="P73" s="21" t="s">
        <v>5</v>
      </c>
      <c r="Q73" s="21" t="s">
        <v>6</v>
      </c>
      <c r="R73" s="21" t="s">
        <v>7</v>
      </c>
      <c r="S73" s="21" t="s">
        <v>8</v>
      </c>
      <c r="T73" s="21" t="s">
        <v>19</v>
      </c>
      <c r="U73" s="21" t="s">
        <v>20</v>
      </c>
      <c r="V73" s="20"/>
    </row>
    <row r="74" spans="2:22" ht="13.5" thickBot="1">
      <c r="B74" s="13"/>
      <c r="C74" s="9"/>
      <c r="D74" s="17"/>
      <c r="E74" s="10"/>
      <c r="F74" s="14"/>
      <c r="G74" s="7">
        <f>+J77</f>
        <v>11</v>
      </c>
      <c r="H74" t="s">
        <v>0</v>
      </c>
      <c r="J74" s="35">
        <f>+$F$25</f>
        <v>45</v>
      </c>
      <c r="K74" t="s">
        <v>3</v>
      </c>
      <c r="N74" s="20" t="s">
        <v>24</v>
      </c>
      <c r="O74" s="20">
        <f>+D79</f>
        <v>0</v>
      </c>
      <c r="P74" s="20">
        <f>+C76</f>
        <v>34</v>
      </c>
      <c r="Q74" s="22">
        <f>+O74*P74</f>
        <v>0</v>
      </c>
      <c r="R74" s="23">
        <f>+G74+C76/2</f>
        <v>28</v>
      </c>
      <c r="S74" s="22">
        <f>+Q74*R74</f>
        <v>0</v>
      </c>
      <c r="T74" s="22">
        <f>+O74*(P74^3)/12</f>
        <v>0</v>
      </c>
      <c r="U74" s="22">
        <f>+Q74*(S78-R74)^2</f>
        <v>0</v>
      </c>
      <c r="V74" s="20"/>
    </row>
    <row r="75" spans="4:22" ht="12.75">
      <c r="D75" s="11"/>
      <c r="H75" t="s">
        <v>18</v>
      </c>
      <c r="J75" s="35">
        <f>+$H$25</f>
        <v>0</v>
      </c>
      <c r="K75" t="s">
        <v>3</v>
      </c>
      <c r="N75" s="20" t="s">
        <v>23</v>
      </c>
      <c r="O75" s="20">
        <f>+D79</f>
        <v>0</v>
      </c>
      <c r="P75" s="20">
        <f>+A73</f>
        <v>0</v>
      </c>
      <c r="Q75" s="22">
        <f>+O75*P75</f>
        <v>0</v>
      </c>
      <c r="R75" s="23">
        <f>-A73/2</f>
        <v>0</v>
      </c>
      <c r="S75" s="22">
        <f>+Q75*R75</f>
        <v>0</v>
      </c>
      <c r="T75" s="22">
        <f>+O75*(P75^3)/12</f>
        <v>0</v>
      </c>
      <c r="U75" s="22">
        <f>+Q75*(S78-R75)^2</f>
        <v>0</v>
      </c>
      <c r="V75" s="20"/>
    </row>
    <row r="76" spans="1:22" ht="12.75">
      <c r="A76" s="1">
        <f>+J74-J75</f>
        <v>45</v>
      </c>
      <c r="C76" s="1">
        <f>+A76-G74</f>
        <v>34</v>
      </c>
      <c r="D76" s="11"/>
      <c r="H76" t="s">
        <v>1</v>
      </c>
      <c r="J76" s="35">
        <f>+$E$25</f>
        <v>0</v>
      </c>
      <c r="K76" t="s">
        <v>3</v>
      </c>
      <c r="N76" s="20" t="s">
        <v>22</v>
      </c>
      <c r="O76" s="20">
        <f>+C71</f>
        <v>68</v>
      </c>
      <c r="P76" s="20">
        <f>+G74</f>
        <v>11</v>
      </c>
      <c r="Q76" s="22">
        <f>+O76*P76</f>
        <v>748</v>
      </c>
      <c r="R76" s="23">
        <f>+G74/2</f>
        <v>5.5</v>
      </c>
      <c r="S76" s="22">
        <f>+Q76*R76</f>
        <v>4114</v>
      </c>
      <c r="T76" s="22">
        <f>+O76*(P76^3)/12</f>
        <v>7542.333333333333</v>
      </c>
      <c r="U76" s="22">
        <f>+Q76*(S78-R76)^2</f>
        <v>0</v>
      </c>
      <c r="V76" s="20"/>
    </row>
    <row r="77" spans="4:22" ht="12.75">
      <c r="D77" s="11"/>
      <c r="H77" t="s">
        <v>2</v>
      </c>
      <c r="J77" s="35">
        <f>+$G$28</f>
        <v>11</v>
      </c>
      <c r="K77" t="s">
        <v>3</v>
      </c>
      <c r="N77" s="20"/>
      <c r="O77" s="20"/>
      <c r="P77" s="20"/>
      <c r="Q77" s="24">
        <f>SUM(Q74:Q76)</f>
        <v>748</v>
      </c>
      <c r="R77" s="20"/>
      <c r="S77" s="24">
        <f>SUM(S74:S76)</f>
        <v>4114</v>
      </c>
      <c r="T77" s="24">
        <f>SUM(T74:T76)</f>
        <v>7542.333333333333</v>
      </c>
      <c r="U77" s="24">
        <f>SUM(U74:U76)</f>
        <v>0</v>
      </c>
      <c r="V77" s="20"/>
    </row>
    <row r="78" spans="4:22" ht="13.5" thickBot="1">
      <c r="D78" s="12"/>
      <c r="H78" t="s">
        <v>10</v>
      </c>
      <c r="J78" s="3">
        <f>+T77+U77</f>
        <v>7542.333333333333</v>
      </c>
      <c r="K78" t="s">
        <v>11</v>
      </c>
      <c r="N78" s="20"/>
      <c r="O78" s="20"/>
      <c r="P78" s="20"/>
      <c r="Q78" s="20"/>
      <c r="R78" s="21" t="s">
        <v>9</v>
      </c>
      <c r="S78" s="23">
        <f>+S77/Q77</f>
        <v>5.5</v>
      </c>
      <c r="T78" s="20"/>
      <c r="U78" s="20"/>
      <c r="V78" s="20"/>
    </row>
    <row r="79" spans="4:22" ht="13.5" thickBot="1">
      <c r="D79" s="1">
        <f>+J76</f>
        <v>0</v>
      </c>
      <c r="H79" t="s">
        <v>12</v>
      </c>
      <c r="J79" s="3">
        <f>+T79</f>
        <v>48248.75</v>
      </c>
      <c r="K79" t="s">
        <v>11</v>
      </c>
      <c r="N79" s="20" t="s">
        <v>21</v>
      </c>
      <c r="O79" s="20">
        <f>+B70</f>
        <v>435</v>
      </c>
      <c r="P79" s="20">
        <f>+J77</f>
        <v>11</v>
      </c>
      <c r="Q79" s="22">
        <f>+O79*P79</f>
        <v>4785</v>
      </c>
      <c r="R79" s="23"/>
      <c r="S79" s="22"/>
      <c r="T79" s="22">
        <f>+O79*(P79^3)/12</f>
        <v>48248.75</v>
      </c>
      <c r="U79" s="20"/>
      <c r="V79" s="20"/>
    </row>
    <row r="80" spans="9:10" ht="17.25" thickBot="1" thickTop="1">
      <c r="I80" s="5" t="s">
        <v>28</v>
      </c>
      <c r="J80" s="6">
        <f>IF(J74=0,0,+J78/J79)</f>
        <v>0.15632183908045977</v>
      </c>
    </row>
    <row r="81" spans="1:22" ht="18.75" customHeight="1" thickTop="1">
      <c r="A81" s="25"/>
      <c r="B81" s="25"/>
      <c r="C81" s="25"/>
      <c r="D81" s="25"/>
      <c r="E81" s="25"/>
      <c r="F81" s="25"/>
      <c r="G81" s="25"/>
      <c r="H81" s="26" t="s">
        <v>25</v>
      </c>
      <c r="I81" s="25"/>
      <c r="J81" s="25"/>
      <c r="K81" s="25"/>
      <c r="L81" s="25"/>
      <c r="M81" s="25"/>
      <c r="N81" s="25"/>
      <c r="O81" s="27"/>
      <c r="P81" s="27"/>
      <c r="Q81" s="27"/>
      <c r="R81" s="27"/>
      <c r="S81" s="27"/>
      <c r="T81" s="27"/>
      <c r="U81" s="27"/>
      <c r="V81" s="25"/>
    </row>
    <row r="83" spans="2:6" ht="12.75">
      <c r="B83" s="122">
        <f>IF(J86=0,+K86/2+D85/2,+IF(K86=0,+J86/2+D85/2,+(J86+K86)/2))</f>
        <v>485</v>
      </c>
      <c r="C83" s="122"/>
      <c r="D83" s="122"/>
      <c r="E83" s="122"/>
      <c r="F83" s="122"/>
    </row>
    <row r="84" spans="3:8" ht="12.75">
      <c r="C84" s="122">
        <f>SUM(C85:E85)</f>
        <v>68</v>
      </c>
      <c r="D84" s="122"/>
      <c r="E84" s="122"/>
      <c r="H84" s="31" t="s">
        <v>33</v>
      </c>
    </row>
    <row r="85" spans="3:11" ht="13.5" thickBot="1">
      <c r="C85" s="8">
        <f>IF(J86=0,0,+IF(C89&gt;4*G87,4*G87,+C89))</f>
        <v>34</v>
      </c>
      <c r="D85" s="8">
        <f>+J89</f>
        <v>0</v>
      </c>
      <c r="E85" s="8">
        <f>IF(K86=0,0,+IF(C89&gt;4*G87,4*G87,+C89))</f>
        <v>34</v>
      </c>
      <c r="J85" s="2" t="s">
        <v>14</v>
      </c>
      <c r="K85" s="2" t="s">
        <v>15</v>
      </c>
    </row>
    <row r="86" spans="1:22" ht="13.5" thickBot="1">
      <c r="A86" s="1">
        <f>+J88</f>
        <v>0</v>
      </c>
      <c r="D86" s="18"/>
      <c r="H86" t="s">
        <v>13</v>
      </c>
      <c r="J86" s="35">
        <f>+$E$8*100</f>
        <v>470</v>
      </c>
      <c r="K86" s="35">
        <f>+$E$14*100</f>
        <v>500</v>
      </c>
      <c r="L86" t="s">
        <v>3</v>
      </c>
      <c r="O86" s="21" t="s">
        <v>4</v>
      </c>
      <c r="P86" s="21" t="s">
        <v>5</v>
      </c>
      <c r="Q86" s="21" t="s">
        <v>6</v>
      </c>
      <c r="R86" s="21" t="s">
        <v>7</v>
      </c>
      <c r="S86" s="21" t="s">
        <v>8</v>
      </c>
      <c r="T86" s="21" t="s">
        <v>19</v>
      </c>
      <c r="U86" s="21" t="s">
        <v>20</v>
      </c>
      <c r="V86" s="20"/>
    </row>
    <row r="87" spans="2:22" ht="13.5" thickBot="1">
      <c r="B87" s="13"/>
      <c r="C87" s="9"/>
      <c r="D87" s="17"/>
      <c r="E87" s="10"/>
      <c r="F87" s="14"/>
      <c r="G87" s="7">
        <f>+J90</f>
        <v>11</v>
      </c>
      <c r="H87" t="s">
        <v>0</v>
      </c>
      <c r="J87" s="35">
        <f>+$F$26</f>
        <v>45</v>
      </c>
      <c r="K87" t="s">
        <v>3</v>
      </c>
      <c r="N87" s="20" t="s">
        <v>24</v>
      </c>
      <c r="O87" s="20">
        <f>+D92</f>
        <v>0</v>
      </c>
      <c r="P87" s="20">
        <f>+C89</f>
        <v>34</v>
      </c>
      <c r="Q87" s="22">
        <f>+O87*P87</f>
        <v>0</v>
      </c>
      <c r="R87" s="23">
        <f>+G87+C89/2</f>
        <v>28</v>
      </c>
      <c r="S87" s="22">
        <f>+Q87*R87</f>
        <v>0</v>
      </c>
      <c r="T87" s="22">
        <f>+O87*(P87^3)/12</f>
        <v>0</v>
      </c>
      <c r="U87" s="22">
        <f>+Q87*(S91-R87)^2</f>
        <v>0</v>
      </c>
      <c r="V87" s="20"/>
    </row>
    <row r="88" spans="4:22" ht="12.75">
      <c r="D88" s="11"/>
      <c r="H88" t="s">
        <v>18</v>
      </c>
      <c r="J88" s="35">
        <f>+$H$26</f>
        <v>0</v>
      </c>
      <c r="K88" t="s">
        <v>3</v>
      </c>
      <c r="N88" s="20" t="s">
        <v>23</v>
      </c>
      <c r="O88" s="20">
        <f>+D92</f>
        <v>0</v>
      </c>
      <c r="P88" s="20">
        <f>+A86</f>
        <v>0</v>
      </c>
      <c r="Q88" s="22">
        <f>+O88*P88</f>
        <v>0</v>
      </c>
      <c r="R88" s="23">
        <f>-A86/2</f>
        <v>0</v>
      </c>
      <c r="S88" s="22">
        <f>+Q88*R88</f>
        <v>0</v>
      </c>
      <c r="T88" s="22">
        <f>+O88*(P88^3)/12</f>
        <v>0</v>
      </c>
      <c r="U88" s="22">
        <f>+Q88*(S91-R88)^2</f>
        <v>0</v>
      </c>
      <c r="V88" s="20"/>
    </row>
    <row r="89" spans="1:22" ht="12.75">
      <c r="A89" s="1">
        <f>+J87-J88</f>
        <v>45</v>
      </c>
      <c r="C89" s="1">
        <f>+A89-G87</f>
        <v>34</v>
      </c>
      <c r="D89" s="11"/>
      <c r="H89" t="s">
        <v>1</v>
      </c>
      <c r="J89" s="35">
        <f>+$E$26</f>
        <v>0</v>
      </c>
      <c r="K89" t="s">
        <v>3</v>
      </c>
      <c r="N89" s="20" t="s">
        <v>22</v>
      </c>
      <c r="O89" s="20">
        <f>+C84</f>
        <v>68</v>
      </c>
      <c r="P89" s="20">
        <f>+G87</f>
        <v>11</v>
      </c>
      <c r="Q89" s="22">
        <f>+O89*P89</f>
        <v>748</v>
      </c>
      <c r="R89" s="23">
        <f>+G87/2</f>
        <v>5.5</v>
      </c>
      <c r="S89" s="22">
        <f>+Q89*R89</f>
        <v>4114</v>
      </c>
      <c r="T89" s="22">
        <f>+O89*(P89^3)/12</f>
        <v>7542.333333333333</v>
      </c>
      <c r="U89" s="22">
        <f>+Q89*(S91-R89)^2</f>
        <v>0</v>
      </c>
      <c r="V89" s="20"/>
    </row>
    <row r="90" spans="4:22" ht="12.75">
      <c r="D90" s="11"/>
      <c r="H90" t="s">
        <v>2</v>
      </c>
      <c r="J90" s="35">
        <f>+$G$28</f>
        <v>11</v>
      </c>
      <c r="K90" t="s">
        <v>3</v>
      </c>
      <c r="N90" s="20"/>
      <c r="O90" s="20"/>
      <c r="P90" s="20"/>
      <c r="Q90" s="24">
        <f>SUM(Q87:Q89)</f>
        <v>748</v>
      </c>
      <c r="R90" s="20"/>
      <c r="S90" s="24">
        <f>SUM(S87:S89)</f>
        <v>4114</v>
      </c>
      <c r="T90" s="24">
        <f>SUM(T87:T89)</f>
        <v>7542.333333333333</v>
      </c>
      <c r="U90" s="24">
        <f>SUM(U87:U89)</f>
        <v>0</v>
      </c>
      <c r="V90" s="20"/>
    </row>
    <row r="91" spans="4:22" ht="13.5" thickBot="1">
      <c r="D91" s="12"/>
      <c r="H91" t="s">
        <v>10</v>
      </c>
      <c r="J91" s="3">
        <f>+T90+U90</f>
        <v>7542.333333333333</v>
      </c>
      <c r="K91" t="s">
        <v>11</v>
      </c>
      <c r="N91" s="20"/>
      <c r="O91" s="20"/>
      <c r="P91" s="20"/>
      <c r="Q91" s="20"/>
      <c r="R91" s="21" t="s">
        <v>9</v>
      </c>
      <c r="S91" s="23">
        <f>+S90/Q90</f>
        <v>5.5</v>
      </c>
      <c r="T91" s="20"/>
      <c r="U91" s="20"/>
      <c r="V91" s="20"/>
    </row>
    <row r="92" spans="4:22" ht="13.5" thickBot="1">
      <c r="D92" s="1">
        <f>+J89</f>
        <v>0</v>
      </c>
      <c r="H92" t="s">
        <v>12</v>
      </c>
      <c r="J92" s="3">
        <f>+T92</f>
        <v>53794.583333333336</v>
      </c>
      <c r="K92" t="s">
        <v>11</v>
      </c>
      <c r="N92" s="20" t="s">
        <v>21</v>
      </c>
      <c r="O92" s="20">
        <f>+B83</f>
        <v>485</v>
      </c>
      <c r="P92" s="20">
        <f>+J90</f>
        <v>11</v>
      </c>
      <c r="Q92" s="22">
        <f>+O92*P92</f>
        <v>5335</v>
      </c>
      <c r="R92" s="23"/>
      <c r="S92" s="22"/>
      <c r="T92" s="22">
        <f>+O92*(P92^3)/12</f>
        <v>53794.583333333336</v>
      </c>
      <c r="U92" s="20"/>
      <c r="V92" s="20"/>
    </row>
    <row r="93" spans="9:10" ht="17.25" thickBot="1" thickTop="1">
      <c r="I93" s="5" t="s">
        <v>29</v>
      </c>
      <c r="J93" s="6">
        <f>IF(J87=0,0,+J91/J92)</f>
        <v>0.1402061855670103</v>
      </c>
    </row>
    <row r="94" spans="1:22" ht="18.75" customHeight="1" thickTop="1">
      <c r="A94" s="25"/>
      <c r="B94" s="25"/>
      <c r="C94" s="25"/>
      <c r="D94" s="25"/>
      <c r="E94" s="25"/>
      <c r="F94" s="25"/>
      <c r="G94" s="25"/>
      <c r="H94" s="26" t="s">
        <v>25</v>
      </c>
      <c r="I94" s="25"/>
      <c r="J94" s="25"/>
      <c r="K94" s="25"/>
      <c r="L94" s="25"/>
      <c r="M94" s="25"/>
      <c r="N94" s="25"/>
      <c r="O94" s="27"/>
      <c r="P94" s="27"/>
      <c r="Q94" s="27"/>
      <c r="R94" s="27"/>
      <c r="S94" s="27"/>
      <c r="T94" s="27"/>
      <c r="U94" s="27"/>
      <c r="V94" s="25"/>
    </row>
    <row r="96" spans="1:24" ht="13.5" thickBot="1">
      <c r="A96" s="73" t="s">
        <v>96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0"/>
      <c r="P96" s="30"/>
      <c r="Q96" s="30"/>
      <c r="R96" s="30"/>
      <c r="S96" s="30"/>
      <c r="T96" s="30"/>
      <c r="U96" s="30"/>
      <c r="V96" s="29"/>
      <c r="X96" t="s">
        <v>96</v>
      </c>
    </row>
    <row r="97" spans="2:28" ht="15.75" thickBot="1">
      <c r="B97" s="122">
        <f>IF(J100=0,+K100/2+D99/2,+IF(K100=0,+J100/2+D99/2,+(J100+K100)/2))</f>
        <v>390</v>
      </c>
      <c r="C97" s="122"/>
      <c r="D97" s="122"/>
      <c r="E97" s="122"/>
      <c r="F97" s="122"/>
      <c r="W97" s="50"/>
      <c r="X97" s="51" t="s">
        <v>82</v>
      </c>
      <c r="Y97" s="52">
        <f>ROUND(IF(Z101&lt;0.2,+W110,+IF(Z101&lt;2,+X110,+Y110))*AB97,0)</f>
        <v>14</v>
      </c>
      <c r="Z97" s="53" t="s">
        <v>3</v>
      </c>
      <c r="AB97">
        <f>IF(Z101&lt;0.2,1,+AB98)</f>
        <v>1</v>
      </c>
    </row>
    <row r="98" spans="3:28" ht="12.75">
      <c r="C98" s="122">
        <f>SUM(C99:E99)</f>
        <v>72</v>
      </c>
      <c r="D98" s="122"/>
      <c r="E98" s="122"/>
      <c r="H98" s="58" t="s">
        <v>30</v>
      </c>
      <c r="I98" s="59"/>
      <c r="J98" s="59"/>
      <c r="K98" s="59"/>
      <c r="L98" s="59"/>
      <c r="M98" s="59"/>
      <c r="N98" s="59"/>
      <c r="O98" s="60"/>
      <c r="P98" s="60"/>
      <c r="Q98" s="60"/>
      <c r="R98" s="60"/>
      <c r="S98" s="60"/>
      <c r="T98" s="60"/>
      <c r="U98" s="60"/>
      <c r="V98" s="59"/>
      <c r="W98" s="2" t="s">
        <v>104</v>
      </c>
      <c r="X98">
        <f>+Y43</f>
        <v>14</v>
      </c>
      <c r="Y98" t="s">
        <v>3</v>
      </c>
      <c r="AB98" s="31">
        <f>MAX(AB99:AB102)</f>
        <v>1</v>
      </c>
    </row>
    <row r="99" spans="3:28" ht="16.5" thickBot="1">
      <c r="C99" s="8">
        <f>IF(J100=0,0,+IF(C103&gt;4*G101,4*G101,+C103))</f>
        <v>36</v>
      </c>
      <c r="D99" s="8">
        <f>+J103</f>
        <v>0</v>
      </c>
      <c r="E99" s="8">
        <f>IF(K100=0,0,+IF(C103&gt;4*G101,4*G101,+C103))</f>
        <v>36</v>
      </c>
      <c r="H99" s="59"/>
      <c r="I99" s="59"/>
      <c r="J99" s="61" t="s">
        <v>14</v>
      </c>
      <c r="K99" s="61" t="s">
        <v>15</v>
      </c>
      <c r="L99" s="59"/>
      <c r="M99" s="59"/>
      <c r="N99" s="59"/>
      <c r="O99" s="60"/>
      <c r="P99" s="60"/>
      <c r="Q99" s="60"/>
      <c r="R99" s="60"/>
      <c r="S99" s="60"/>
      <c r="T99" s="60"/>
      <c r="U99" s="60"/>
      <c r="V99" s="59"/>
      <c r="W99" s="37" t="s">
        <v>63</v>
      </c>
      <c r="X99" s="36">
        <f>+J107</f>
        <v>0.18461538461538463</v>
      </c>
      <c r="AA99">
        <f>+$G$11</f>
        <v>1</v>
      </c>
      <c r="AB99">
        <f>IF(AA99=1,1,+IF(X99&gt;=0.8,1,1.1))</f>
        <v>1</v>
      </c>
    </row>
    <row r="100" spans="1:28" ht="16.5" thickBot="1">
      <c r="A100" s="1">
        <f>+J102</f>
        <v>0</v>
      </c>
      <c r="D100" s="18"/>
      <c r="H100" s="59" t="s">
        <v>13</v>
      </c>
      <c r="I100" s="59"/>
      <c r="J100" s="58">
        <f>+$E$11*100</f>
        <v>330</v>
      </c>
      <c r="K100" s="58">
        <f>+$E$7*100</f>
        <v>450</v>
      </c>
      <c r="L100" s="59" t="s">
        <v>3</v>
      </c>
      <c r="M100" s="59"/>
      <c r="N100" s="59"/>
      <c r="O100" s="62" t="s">
        <v>4</v>
      </c>
      <c r="P100" s="62" t="s">
        <v>5</v>
      </c>
      <c r="Q100" s="62" t="s">
        <v>6</v>
      </c>
      <c r="R100" s="62" t="s">
        <v>7</v>
      </c>
      <c r="S100" s="62" t="s">
        <v>8</v>
      </c>
      <c r="T100" s="62" t="s">
        <v>19</v>
      </c>
      <c r="U100" s="62" t="s">
        <v>20</v>
      </c>
      <c r="V100" s="63"/>
      <c r="W100" s="37" t="s">
        <v>64</v>
      </c>
      <c r="X100" s="36">
        <f>+J120</f>
        <v>0.18461538461538463</v>
      </c>
      <c r="AA100">
        <f>+$G$12</f>
        <v>1</v>
      </c>
      <c r="AB100">
        <f>IF(AA100=1,1,+IF(X100&gt;=0.8,1,1.1))</f>
        <v>1</v>
      </c>
    </row>
    <row r="101" spans="2:28" ht="17.25" thickBot="1" thickTop="1">
      <c r="B101" s="13"/>
      <c r="C101" s="9"/>
      <c r="D101" s="17"/>
      <c r="E101" s="10"/>
      <c r="F101" s="14"/>
      <c r="G101" s="7">
        <f>+J104</f>
        <v>14</v>
      </c>
      <c r="H101" s="59" t="s">
        <v>0</v>
      </c>
      <c r="I101" s="59"/>
      <c r="J101" s="58">
        <f>+$F$23</f>
        <v>50</v>
      </c>
      <c r="K101" s="59" t="s">
        <v>3</v>
      </c>
      <c r="L101" s="59"/>
      <c r="M101" s="59"/>
      <c r="N101" s="63" t="s">
        <v>24</v>
      </c>
      <c r="O101" s="63">
        <f>+D106</f>
        <v>0</v>
      </c>
      <c r="P101" s="63">
        <f>+C103</f>
        <v>36</v>
      </c>
      <c r="Q101" s="64">
        <f>+O101*P101</f>
        <v>0</v>
      </c>
      <c r="R101" s="65">
        <f>+G101+C103/2</f>
        <v>32</v>
      </c>
      <c r="S101" s="64">
        <f>+Q101*R101</f>
        <v>0</v>
      </c>
      <c r="T101" s="64">
        <f>+O101*(P101^3)/12</f>
        <v>0</v>
      </c>
      <c r="U101" s="64">
        <f>+Q101*(S105-R101)^2</f>
        <v>0</v>
      </c>
      <c r="V101" s="63"/>
      <c r="W101" s="37" t="s">
        <v>65</v>
      </c>
      <c r="X101" s="36">
        <f>+J133</f>
        <v>0.1425287356321839</v>
      </c>
      <c r="Y101" s="5" t="s">
        <v>51</v>
      </c>
      <c r="Z101" s="6">
        <f>SUM(X99:X102)/4</f>
        <v>0.15989863910233623</v>
      </c>
      <c r="AA101">
        <f>+$G$13</f>
        <v>1</v>
      </c>
      <c r="AB101">
        <f>IF(AA101=1,1,+IF(X101&gt;=0.8,1,1.1))</f>
        <v>1</v>
      </c>
    </row>
    <row r="102" spans="4:28" ht="15.75">
      <c r="D102" s="11"/>
      <c r="H102" s="59" t="s">
        <v>18</v>
      </c>
      <c r="I102" s="59"/>
      <c r="J102" s="58">
        <f>+$H$23</f>
        <v>0</v>
      </c>
      <c r="K102" s="59" t="s">
        <v>3</v>
      </c>
      <c r="L102" s="59"/>
      <c r="M102" s="59"/>
      <c r="N102" s="63" t="s">
        <v>23</v>
      </c>
      <c r="O102" s="63">
        <f>+D106</f>
        <v>0</v>
      </c>
      <c r="P102" s="63">
        <f>+A100</f>
        <v>0</v>
      </c>
      <c r="Q102" s="64">
        <f>+O102*P102</f>
        <v>0</v>
      </c>
      <c r="R102" s="65">
        <f>-A100/2</f>
        <v>0</v>
      </c>
      <c r="S102" s="64">
        <f>+Q102*R102</f>
        <v>0</v>
      </c>
      <c r="T102" s="64">
        <f>+O102*(P102^3)/12</f>
        <v>0</v>
      </c>
      <c r="U102" s="64">
        <f>+Q102*(S105-R102)^2</f>
        <v>0</v>
      </c>
      <c r="V102" s="63"/>
      <c r="W102" s="37" t="s">
        <v>66</v>
      </c>
      <c r="X102" s="36">
        <f>+J146</f>
        <v>0.12783505154639177</v>
      </c>
      <c r="AA102">
        <f>+$G$14</f>
        <v>1</v>
      </c>
      <c r="AB102">
        <f>IF(AA102=1,1,+IF(X102&gt;=0.8,1,1.1))</f>
        <v>1</v>
      </c>
    </row>
    <row r="103" spans="1:22" ht="12.75">
      <c r="A103" s="1">
        <f>+J101-J102</f>
        <v>50</v>
      </c>
      <c r="C103" s="1">
        <f>+A103-G101</f>
        <v>36</v>
      </c>
      <c r="D103" s="11"/>
      <c r="H103" s="59" t="s">
        <v>1</v>
      </c>
      <c r="I103" s="59"/>
      <c r="J103" s="58">
        <f>+$E$23</f>
        <v>0</v>
      </c>
      <c r="K103" s="59" t="s">
        <v>3</v>
      </c>
      <c r="L103" s="59"/>
      <c r="M103" s="59"/>
      <c r="N103" s="63" t="s">
        <v>22</v>
      </c>
      <c r="O103" s="63">
        <f>+C98</f>
        <v>72</v>
      </c>
      <c r="P103" s="63">
        <f>+G101</f>
        <v>14</v>
      </c>
      <c r="Q103" s="64">
        <f>+O103*P103</f>
        <v>1008</v>
      </c>
      <c r="R103" s="65">
        <f>+G101/2</f>
        <v>7</v>
      </c>
      <c r="S103" s="64">
        <f>+Q103*R103</f>
        <v>7056</v>
      </c>
      <c r="T103" s="64">
        <f>+O103*(P103^3)/12</f>
        <v>16464</v>
      </c>
      <c r="U103" s="64">
        <f>+Q103*(S105-R103)^2</f>
        <v>0</v>
      </c>
      <c r="V103" s="63"/>
    </row>
    <row r="104" spans="4:25" ht="12.75">
      <c r="D104" s="11"/>
      <c r="H104" s="59" t="s">
        <v>2</v>
      </c>
      <c r="I104" s="59"/>
      <c r="J104" s="58">
        <f>+$Y$43</f>
        <v>14</v>
      </c>
      <c r="K104" s="59" t="s">
        <v>3</v>
      </c>
      <c r="L104" s="59"/>
      <c r="M104" s="59"/>
      <c r="N104" s="63"/>
      <c r="O104" s="63"/>
      <c r="P104" s="63"/>
      <c r="Q104" s="66">
        <f>SUM(Q101:Q103)</f>
        <v>1008</v>
      </c>
      <c r="R104" s="63"/>
      <c r="S104" s="66">
        <f>SUM(S101:S103)</f>
        <v>7056</v>
      </c>
      <c r="T104" s="66">
        <f>SUM(T101:T103)</f>
        <v>16464</v>
      </c>
      <c r="U104" s="66">
        <f>SUM(U101:U103)</f>
        <v>0</v>
      </c>
      <c r="V104" s="63"/>
      <c r="W104" s="47" t="s">
        <v>73</v>
      </c>
      <c r="X104" s="47" t="s">
        <v>74</v>
      </c>
      <c r="Y104" s="47" t="s">
        <v>75</v>
      </c>
    </row>
    <row r="105" spans="4:25" ht="13.5" thickBot="1">
      <c r="D105" s="12"/>
      <c r="H105" s="59" t="s">
        <v>10</v>
      </c>
      <c r="I105" s="59"/>
      <c r="J105" s="67">
        <f>+T104+U104</f>
        <v>16464</v>
      </c>
      <c r="K105" s="59" t="s">
        <v>11</v>
      </c>
      <c r="L105" s="59"/>
      <c r="M105" s="59"/>
      <c r="N105" s="63"/>
      <c r="O105" s="63"/>
      <c r="P105" s="63"/>
      <c r="Q105" s="63"/>
      <c r="R105" s="62" t="s">
        <v>9</v>
      </c>
      <c r="S105" s="65">
        <f>+S104/Q104</f>
        <v>7</v>
      </c>
      <c r="T105" s="63"/>
      <c r="U105" s="63"/>
      <c r="V105" s="63"/>
      <c r="W105" s="42">
        <f>$E$39/$AA$3*100</f>
        <v>14.242424242424242</v>
      </c>
      <c r="X105" s="42">
        <f>(+$E$39*100*(0.8+$H$6/200000))/(36+5*$E$38*(Z101-0.2))</f>
        <v>14.505274406056218</v>
      </c>
      <c r="Y105" s="42">
        <f>(+$E$39*100*(0.8+$H$6/200000))/(36+9*$E$38)</f>
        <v>11.435070702643172</v>
      </c>
    </row>
    <row r="106" spans="4:25" ht="13.5" thickBot="1">
      <c r="D106" s="1">
        <f>+J103</f>
        <v>0</v>
      </c>
      <c r="H106" s="59" t="s">
        <v>12</v>
      </c>
      <c r="I106" s="59"/>
      <c r="J106" s="67">
        <f>+T106</f>
        <v>89180</v>
      </c>
      <c r="K106" s="59" t="s">
        <v>11</v>
      </c>
      <c r="L106" s="59"/>
      <c r="M106" s="59"/>
      <c r="N106" s="63" t="s">
        <v>21</v>
      </c>
      <c r="O106" s="63">
        <f>+B97</f>
        <v>390</v>
      </c>
      <c r="P106" s="63">
        <f>+J104</f>
        <v>14</v>
      </c>
      <c r="Q106" s="64">
        <f>+O106*P106</f>
        <v>5460</v>
      </c>
      <c r="R106" s="65"/>
      <c r="S106" s="64"/>
      <c r="T106" s="64">
        <f>+O106*(P106^3)/12</f>
        <v>89180</v>
      </c>
      <c r="U106" s="63"/>
      <c r="V106" s="63"/>
      <c r="W106" s="41">
        <f>INT(W105)</f>
        <v>14</v>
      </c>
      <c r="X106" s="41">
        <f>INT(X105)</f>
        <v>14</v>
      </c>
      <c r="Y106" s="41">
        <f>INT(Y105)</f>
        <v>11</v>
      </c>
    </row>
    <row r="107" spans="8:25" ht="17.25" thickBot="1" thickTop="1">
      <c r="H107" s="59"/>
      <c r="I107" s="68" t="s">
        <v>86</v>
      </c>
      <c r="J107" s="69">
        <f>IF(J101=0,0,+J105/J106)</f>
        <v>0.18461538461538463</v>
      </c>
      <c r="K107" s="59"/>
      <c r="L107" s="59"/>
      <c r="M107" s="59"/>
      <c r="N107" s="59"/>
      <c r="O107" s="60"/>
      <c r="P107" s="60"/>
      <c r="Q107" s="60"/>
      <c r="R107" s="60"/>
      <c r="S107" s="60"/>
      <c r="T107" s="60"/>
      <c r="U107" s="60"/>
      <c r="V107" s="59"/>
      <c r="W107" s="42">
        <f>+W105-W106</f>
        <v>0.2424242424242422</v>
      </c>
      <c r="X107" s="42">
        <f>+X105-X106</f>
        <v>0.505274406056218</v>
      </c>
      <c r="Y107" s="42">
        <f>+Y105-Y106</f>
        <v>0.4350707026431717</v>
      </c>
    </row>
    <row r="108" spans="1:25" ht="15" thickTop="1">
      <c r="A108" s="25"/>
      <c r="B108" s="25"/>
      <c r="C108" s="25"/>
      <c r="D108" s="25"/>
      <c r="E108" s="25"/>
      <c r="F108" s="25"/>
      <c r="G108" s="25"/>
      <c r="H108" s="70" t="s">
        <v>87</v>
      </c>
      <c r="I108" s="71"/>
      <c r="J108" s="71"/>
      <c r="K108" s="71"/>
      <c r="L108" s="71"/>
      <c r="M108" s="71"/>
      <c r="N108" s="71"/>
      <c r="O108" s="72"/>
      <c r="P108" s="72"/>
      <c r="Q108" s="72"/>
      <c r="R108" s="72"/>
      <c r="S108" s="72"/>
      <c r="T108" s="72"/>
      <c r="U108" s="72"/>
      <c r="V108" s="71"/>
      <c r="W108" s="48">
        <f>IF(W107&gt;0.39,+W106+1,+W106)</f>
        <v>14</v>
      </c>
      <c r="X108" s="48">
        <f>IF(X107&gt;0.39,+X106+1,+X106)</f>
        <v>15</v>
      </c>
      <c r="Y108" s="48">
        <f>IF(Y107&gt;0.39,+Y106+1,+Y106)</f>
        <v>12</v>
      </c>
    </row>
    <row r="109" spans="8:25" ht="12.75">
      <c r="H109" s="59"/>
      <c r="I109" s="59"/>
      <c r="J109" s="59"/>
      <c r="K109" s="59"/>
      <c r="L109" s="59"/>
      <c r="M109" s="59"/>
      <c r="N109" s="59"/>
      <c r="O109" s="60"/>
      <c r="P109" s="60"/>
      <c r="Q109" s="60"/>
      <c r="R109" s="60"/>
      <c r="S109" s="60"/>
      <c r="T109" s="60"/>
      <c r="U109" s="60"/>
      <c r="V109" s="59"/>
      <c r="W109" s="41">
        <f>5*2.54</f>
        <v>12.7</v>
      </c>
      <c r="X109" s="41">
        <f>5*2.54</f>
        <v>12.7</v>
      </c>
      <c r="Y109" s="41">
        <f>3.5*2.54</f>
        <v>8.89</v>
      </c>
    </row>
    <row r="110" spans="2:25" ht="12.75">
      <c r="B110" s="122">
        <f>IF(J113=0,+K113/2+D112/2,+IF(K113=0,+J113/2+D112/2,+(J113+K113)/2))</f>
        <v>390</v>
      </c>
      <c r="C110" s="122"/>
      <c r="D110" s="122"/>
      <c r="E110" s="122"/>
      <c r="F110" s="122"/>
      <c r="H110" s="59"/>
      <c r="I110" s="59"/>
      <c r="J110" s="59"/>
      <c r="K110" s="59"/>
      <c r="L110" s="59"/>
      <c r="M110" s="59"/>
      <c r="N110" s="59"/>
      <c r="O110" s="60"/>
      <c r="P110" s="60"/>
      <c r="Q110" s="60"/>
      <c r="R110" s="60"/>
      <c r="S110" s="60"/>
      <c r="T110" s="60"/>
      <c r="U110" s="60"/>
      <c r="V110" s="59"/>
      <c r="W110" s="48">
        <f>IF(W108&lt;W109,+ROUND(W109,0),+W108)</f>
        <v>14</v>
      </c>
      <c r="X110" s="48">
        <f>IF(X108&lt;X109,+ROUND(X109,0),+X108)</f>
        <v>15</v>
      </c>
      <c r="Y110" s="48">
        <f>IF(Y108&lt;Y109,+ROUND(Y109,0),+Y108)</f>
        <v>12</v>
      </c>
    </row>
    <row r="111" spans="3:22" ht="12.75">
      <c r="C111" s="122">
        <f>SUM(C112:E112)</f>
        <v>72</v>
      </c>
      <c r="D111" s="122"/>
      <c r="E111" s="122"/>
      <c r="H111" s="58" t="s">
        <v>31</v>
      </c>
      <c r="I111" s="59"/>
      <c r="J111" s="59"/>
      <c r="K111" s="59"/>
      <c r="L111" s="59"/>
      <c r="M111" s="59"/>
      <c r="N111" s="59"/>
      <c r="O111" s="60"/>
      <c r="P111" s="60"/>
      <c r="Q111" s="60"/>
      <c r="R111" s="60"/>
      <c r="S111" s="60"/>
      <c r="T111" s="60"/>
      <c r="U111" s="60"/>
      <c r="V111" s="59"/>
    </row>
    <row r="112" spans="3:22" ht="13.5" thickBot="1">
      <c r="C112" s="8">
        <f>IF(J113=0,0,+IF(C116&gt;4*G114,4*G114,+C116))</f>
        <v>36</v>
      </c>
      <c r="D112" s="8">
        <f>+J116</f>
        <v>0</v>
      </c>
      <c r="E112" s="8">
        <f>IF(K113=0,0,+IF(C116&gt;4*G114,4*G114,+C116))</f>
        <v>36</v>
      </c>
      <c r="H112" s="59"/>
      <c r="I112" s="59"/>
      <c r="J112" s="61" t="s">
        <v>14</v>
      </c>
      <c r="K112" s="61" t="s">
        <v>15</v>
      </c>
      <c r="L112" s="59"/>
      <c r="M112" s="59"/>
      <c r="N112" s="59"/>
      <c r="O112" s="60"/>
      <c r="P112" s="60"/>
      <c r="Q112" s="60"/>
      <c r="R112" s="60"/>
      <c r="S112" s="60"/>
      <c r="T112" s="60"/>
      <c r="U112" s="60"/>
      <c r="V112" s="59"/>
    </row>
    <row r="113" spans="1:22" ht="13.5" thickBot="1">
      <c r="A113" s="1">
        <f>+J115</f>
        <v>0</v>
      </c>
      <c r="D113" s="18"/>
      <c r="H113" s="59" t="s">
        <v>13</v>
      </c>
      <c r="I113" s="59"/>
      <c r="J113" s="58">
        <f>+$E$7*100</f>
        <v>450</v>
      </c>
      <c r="K113" s="58">
        <f>+$E$12*100</f>
        <v>330</v>
      </c>
      <c r="L113" s="59" t="s">
        <v>3</v>
      </c>
      <c r="M113" s="59"/>
      <c r="N113" s="59"/>
      <c r="O113" s="62" t="s">
        <v>4</v>
      </c>
      <c r="P113" s="62" t="s">
        <v>5</v>
      </c>
      <c r="Q113" s="62" t="s">
        <v>6</v>
      </c>
      <c r="R113" s="62" t="s">
        <v>7</v>
      </c>
      <c r="S113" s="62" t="s">
        <v>8</v>
      </c>
      <c r="T113" s="62" t="s">
        <v>19</v>
      </c>
      <c r="U113" s="62" t="s">
        <v>20</v>
      </c>
      <c r="V113" s="63"/>
    </row>
    <row r="114" spans="2:22" ht="13.5" thickBot="1">
      <c r="B114" s="13"/>
      <c r="C114" s="9"/>
      <c r="D114" s="17"/>
      <c r="E114" s="10"/>
      <c r="F114" s="14"/>
      <c r="G114" s="7">
        <f>+J117</f>
        <v>14</v>
      </c>
      <c r="H114" s="59" t="s">
        <v>0</v>
      </c>
      <c r="I114" s="59"/>
      <c r="J114" s="58">
        <f>+$F$24</f>
        <v>50</v>
      </c>
      <c r="K114" s="59" t="s">
        <v>3</v>
      </c>
      <c r="L114" s="59"/>
      <c r="M114" s="59"/>
      <c r="N114" s="63" t="s">
        <v>24</v>
      </c>
      <c r="O114" s="63">
        <f>+D119</f>
        <v>0</v>
      </c>
      <c r="P114" s="63">
        <f>+C116</f>
        <v>36</v>
      </c>
      <c r="Q114" s="64">
        <f>+O114*P114</f>
        <v>0</v>
      </c>
      <c r="R114" s="65">
        <f>+G114+C116/2</f>
        <v>32</v>
      </c>
      <c r="S114" s="64">
        <f>+Q114*R114</f>
        <v>0</v>
      </c>
      <c r="T114" s="64">
        <f>+O114*(P114^3)/12</f>
        <v>0</v>
      </c>
      <c r="U114" s="64">
        <f>+Q114*(S118-R114)^2</f>
        <v>0</v>
      </c>
      <c r="V114" s="63"/>
    </row>
    <row r="115" spans="4:22" ht="12.75">
      <c r="D115" s="11"/>
      <c r="H115" s="59" t="s">
        <v>18</v>
      </c>
      <c r="I115" s="59"/>
      <c r="J115" s="58">
        <f>+$H$24</f>
        <v>0</v>
      </c>
      <c r="K115" s="59" t="s">
        <v>3</v>
      </c>
      <c r="L115" s="59"/>
      <c r="M115" s="59"/>
      <c r="N115" s="63" t="s">
        <v>23</v>
      </c>
      <c r="O115" s="63">
        <f>+D119</f>
        <v>0</v>
      </c>
      <c r="P115" s="63">
        <f>+A113</f>
        <v>0</v>
      </c>
      <c r="Q115" s="64">
        <f>+O115*P115</f>
        <v>0</v>
      </c>
      <c r="R115" s="65">
        <f>-A113/2</f>
        <v>0</v>
      </c>
      <c r="S115" s="64">
        <f>+Q115*R115</f>
        <v>0</v>
      </c>
      <c r="T115" s="64">
        <f>+O115*(P115^3)/12</f>
        <v>0</v>
      </c>
      <c r="U115" s="64">
        <f>+Q115*(S118-R115)^2</f>
        <v>0</v>
      </c>
      <c r="V115" s="63"/>
    </row>
    <row r="116" spans="1:22" ht="12.75">
      <c r="A116" s="1">
        <f>+J114-J115</f>
        <v>50</v>
      </c>
      <c r="C116" s="1">
        <f>+A116-G114</f>
        <v>36</v>
      </c>
      <c r="D116" s="11"/>
      <c r="H116" s="59" t="s">
        <v>1</v>
      </c>
      <c r="I116" s="59"/>
      <c r="J116" s="58">
        <f>+$E$24</f>
        <v>0</v>
      </c>
      <c r="K116" s="59" t="s">
        <v>3</v>
      </c>
      <c r="L116" s="59"/>
      <c r="M116" s="59"/>
      <c r="N116" s="63" t="s">
        <v>22</v>
      </c>
      <c r="O116" s="63">
        <f>+C111</f>
        <v>72</v>
      </c>
      <c r="P116" s="63">
        <f>+G114</f>
        <v>14</v>
      </c>
      <c r="Q116" s="64">
        <f>+O116*P116</f>
        <v>1008</v>
      </c>
      <c r="R116" s="65">
        <f>+G114/2</f>
        <v>7</v>
      </c>
      <c r="S116" s="64">
        <f>+Q116*R116</f>
        <v>7056</v>
      </c>
      <c r="T116" s="64">
        <f>+O116*(P116^3)/12</f>
        <v>16464</v>
      </c>
      <c r="U116" s="64">
        <f>+Q116*(S118-R116)^2</f>
        <v>0</v>
      </c>
      <c r="V116" s="63"/>
    </row>
    <row r="117" spans="4:22" ht="12.75">
      <c r="D117" s="11"/>
      <c r="H117" s="59" t="s">
        <v>2</v>
      </c>
      <c r="I117" s="59"/>
      <c r="J117" s="58">
        <f>+$Y$43</f>
        <v>14</v>
      </c>
      <c r="K117" s="59" t="s">
        <v>3</v>
      </c>
      <c r="L117" s="59"/>
      <c r="M117" s="59"/>
      <c r="N117" s="63"/>
      <c r="O117" s="63"/>
      <c r="P117" s="63"/>
      <c r="Q117" s="66">
        <f>SUM(Q114:Q116)</f>
        <v>1008</v>
      </c>
      <c r="R117" s="63"/>
      <c r="S117" s="66">
        <f>SUM(S114:S116)</f>
        <v>7056</v>
      </c>
      <c r="T117" s="66">
        <f>SUM(T114:T116)</f>
        <v>16464</v>
      </c>
      <c r="U117" s="66">
        <f>SUM(U114:U116)</f>
        <v>0</v>
      </c>
      <c r="V117" s="63"/>
    </row>
    <row r="118" spans="4:22" ht="13.5" thickBot="1">
      <c r="D118" s="12"/>
      <c r="H118" s="59" t="s">
        <v>10</v>
      </c>
      <c r="I118" s="59"/>
      <c r="J118" s="67">
        <f>+T117+U117</f>
        <v>16464</v>
      </c>
      <c r="K118" s="59" t="s">
        <v>11</v>
      </c>
      <c r="L118" s="59"/>
      <c r="M118" s="59"/>
      <c r="N118" s="63"/>
      <c r="O118" s="63"/>
      <c r="P118" s="63"/>
      <c r="Q118" s="63"/>
      <c r="R118" s="62" t="s">
        <v>9</v>
      </c>
      <c r="S118" s="65">
        <f>+S117/Q117</f>
        <v>7</v>
      </c>
      <c r="T118" s="63"/>
      <c r="U118" s="63"/>
      <c r="V118" s="63"/>
    </row>
    <row r="119" spans="4:22" ht="13.5" thickBot="1">
      <c r="D119" s="1">
        <f>+J116</f>
        <v>0</v>
      </c>
      <c r="H119" s="59" t="s">
        <v>12</v>
      </c>
      <c r="I119" s="59"/>
      <c r="J119" s="67">
        <f>+T119</f>
        <v>89180</v>
      </c>
      <c r="K119" s="59" t="s">
        <v>11</v>
      </c>
      <c r="L119" s="59"/>
      <c r="M119" s="59"/>
      <c r="N119" s="63" t="s">
        <v>21</v>
      </c>
      <c r="O119" s="63">
        <f>+B110</f>
        <v>390</v>
      </c>
      <c r="P119" s="63">
        <f>+J117</f>
        <v>14</v>
      </c>
      <c r="Q119" s="64">
        <f>+O119*P119</f>
        <v>5460</v>
      </c>
      <c r="R119" s="65"/>
      <c r="S119" s="64"/>
      <c r="T119" s="64">
        <f>+O119*(P119^3)/12</f>
        <v>89180</v>
      </c>
      <c r="U119" s="63"/>
      <c r="V119" s="63"/>
    </row>
    <row r="120" spans="8:22" ht="17.25" thickBot="1" thickTop="1">
      <c r="H120" s="59"/>
      <c r="I120" s="68" t="s">
        <v>88</v>
      </c>
      <c r="J120" s="69">
        <f>IF(J114=0,0,+J118/J119)</f>
        <v>0.18461538461538463</v>
      </c>
      <c r="K120" s="59"/>
      <c r="L120" s="59"/>
      <c r="M120" s="59"/>
      <c r="N120" s="59"/>
      <c r="O120" s="60"/>
      <c r="P120" s="60"/>
      <c r="Q120" s="60"/>
      <c r="R120" s="60"/>
      <c r="S120" s="60"/>
      <c r="T120" s="60"/>
      <c r="U120" s="60"/>
      <c r="V120" s="59"/>
    </row>
    <row r="121" spans="1:22" ht="15" thickTop="1">
      <c r="A121" s="25"/>
      <c r="B121" s="25"/>
      <c r="C121" s="25"/>
      <c r="D121" s="25"/>
      <c r="E121" s="25"/>
      <c r="F121" s="25"/>
      <c r="G121" s="25"/>
      <c r="H121" s="70" t="s">
        <v>87</v>
      </c>
      <c r="I121" s="71"/>
      <c r="J121" s="71"/>
      <c r="K121" s="71"/>
      <c r="L121" s="71"/>
      <c r="M121" s="71"/>
      <c r="N121" s="71"/>
      <c r="O121" s="72"/>
      <c r="P121" s="72"/>
      <c r="Q121" s="72"/>
      <c r="R121" s="72"/>
      <c r="S121" s="72"/>
      <c r="T121" s="72"/>
      <c r="U121" s="72"/>
      <c r="V121" s="71"/>
    </row>
    <row r="122" spans="8:22" ht="12.75">
      <c r="H122" s="59"/>
      <c r="I122" s="59"/>
      <c r="J122" s="59"/>
      <c r="K122" s="59"/>
      <c r="L122" s="59"/>
      <c r="M122" s="59"/>
      <c r="N122" s="59"/>
      <c r="O122" s="60"/>
      <c r="P122" s="60"/>
      <c r="Q122" s="60"/>
      <c r="R122" s="60"/>
      <c r="S122" s="60"/>
      <c r="T122" s="60"/>
      <c r="U122" s="60"/>
      <c r="V122" s="59"/>
    </row>
    <row r="123" spans="2:22" ht="12.75">
      <c r="B123" s="122">
        <f>IF(J126=0,+K126/2+D125/2,+IF(K126=0,+J126/2+D125/2,+(J126+K126)/2))</f>
        <v>435</v>
      </c>
      <c r="C123" s="122"/>
      <c r="D123" s="122"/>
      <c r="E123" s="122"/>
      <c r="F123" s="122"/>
      <c r="H123" s="59"/>
      <c r="I123" s="59"/>
      <c r="J123" s="59"/>
      <c r="K123" s="59"/>
      <c r="L123" s="59"/>
      <c r="M123" s="59"/>
      <c r="N123" s="59"/>
      <c r="O123" s="60"/>
      <c r="P123" s="60"/>
      <c r="Q123" s="60"/>
      <c r="R123" s="60"/>
      <c r="S123" s="60"/>
      <c r="T123" s="60"/>
      <c r="U123" s="60"/>
      <c r="V123" s="59"/>
    </row>
    <row r="124" spans="3:22" ht="12.75">
      <c r="C124" s="122">
        <f>SUM(C125:E125)</f>
        <v>62</v>
      </c>
      <c r="D124" s="122"/>
      <c r="E124" s="122"/>
      <c r="H124" s="58" t="s">
        <v>32</v>
      </c>
      <c r="I124" s="59"/>
      <c r="J124" s="59"/>
      <c r="K124" s="59"/>
      <c r="L124" s="59"/>
      <c r="M124" s="59"/>
      <c r="N124" s="59"/>
      <c r="O124" s="60"/>
      <c r="P124" s="60"/>
      <c r="Q124" s="60"/>
      <c r="R124" s="60"/>
      <c r="S124" s="60"/>
      <c r="T124" s="60"/>
      <c r="U124" s="60"/>
      <c r="V124" s="59"/>
    </row>
    <row r="125" spans="3:22" ht="13.5" thickBot="1">
      <c r="C125" s="8">
        <f>IF(J126=0,0,+IF(C129&gt;4*G127,4*G127,+C129))</f>
        <v>31</v>
      </c>
      <c r="D125" s="8">
        <f>+J129</f>
        <v>0</v>
      </c>
      <c r="E125" s="8">
        <f>IF(K126=0,0,+IF(C129&gt;4*G127,4*G127,+C129))</f>
        <v>31</v>
      </c>
      <c r="H125" s="59"/>
      <c r="I125" s="59"/>
      <c r="J125" s="61" t="s">
        <v>14</v>
      </c>
      <c r="K125" s="61" t="s">
        <v>15</v>
      </c>
      <c r="L125" s="59"/>
      <c r="M125" s="59"/>
      <c r="N125" s="59"/>
      <c r="O125" s="60"/>
      <c r="P125" s="60"/>
      <c r="Q125" s="60"/>
      <c r="R125" s="60"/>
      <c r="S125" s="60"/>
      <c r="T125" s="60"/>
      <c r="U125" s="60"/>
      <c r="V125" s="59"/>
    </row>
    <row r="126" spans="1:22" ht="13.5" thickBot="1">
      <c r="A126" s="1">
        <f>+J128</f>
        <v>0</v>
      </c>
      <c r="D126" s="18"/>
      <c r="H126" s="59" t="s">
        <v>13</v>
      </c>
      <c r="I126" s="59"/>
      <c r="J126" s="58">
        <f>+$E$13*100</f>
        <v>400</v>
      </c>
      <c r="K126" s="58">
        <f>+$E$8*100</f>
        <v>470</v>
      </c>
      <c r="L126" s="59" t="s">
        <v>3</v>
      </c>
      <c r="M126" s="59"/>
      <c r="N126" s="59"/>
      <c r="O126" s="62" t="s">
        <v>4</v>
      </c>
      <c r="P126" s="62" t="s">
        <v>5</v>
      </c>
      <c r="Q126" s="62" t="s">
        <v>6</v>
      </c>
      <c r="R126" s="62" t="s">
        <v>7</v>
      </c>
      <c r="S126" s="62" t="s">
        <v>8</v>
      </c>
      <c r="T126" s="62" t="s">
        <v>19</v>
      </c>
      <c r="U126" s="62" t="s">
        <v>20</v>
      </c>
      <c r="V126" s="63"/>
    </row>
    <row r="127" spans="2:22" ht="13.5" thickBot="1">
      <c r="B127" s="13"/>
      <c r="C127" s="9"/>
      <c r="D127" s="17"/>
      <c r="E127" s="10"/>
      <c r="F127" s="14"/>
      <c r="G127" s="7">
        <f>+J130</f>
        <v>14</v>
      </c>
      <c r="H127" s="59" t="s">
        <v>0</v>
      </c>
      <c r="I127" s="59"/>
      <c r="J127" s="58">
        <f>+$F$25</f>
        <v>45</v>
      </c>
      <c r="K127" s="59" t="s">
        <v>3</v>
      </c>
      <c r="L127" s="59"/>
      <c r="M127" s="59"/>
      <c r="N127" s="63" t="s">
        <v>24</v>
      </c>
      <c r="O127" s="63">
        <f>+D132</f>
        <v>0</v>
      </c>
      <c r="P127" s="63">
        <f>+C129</f>
        <v>31</v>
      </c>
      <c r="Q127" s="64">
        <f>+O127*P127</f>
        <v>0</v>
      </c>
      <c r="R127" s="65">
        <f>+G127+C129/2</f>
        <v>29.5</v>
      </c>
      <c r="S127" s="64">
        <f>+Q127*R127</f>
        <v>0</v>
      </c>
      <c r="T127" s="64">
        <f>+O127*(P127^3)/12</f>
        <v>0</v>
      </c>
      <c r="U127" s="64">
        <f>+Q127*(S131-R127)^2</f>
        <v>0</v>
      </c>
      <c r="V127" s="63"/>
    </row>
    <row r="128" spans="4:22" ht="12.75">
      <c r="D128" s="11"/>
      <c r="H128" s="59" t="s">
        <v>18</v>
      </c>
      <c r="I128" s="59"/>
      <c r="J128" s="58">
        <f>+$H$25</f>
        <v>0</v>
      </c>
      <c r="K128" s="59" t="s">
        <v>3</v>
      </c>
      <c r="L128" s="59"/>
      <c r="M128" s="59"/>
      <c r="N128" s="63" t="s">
        <v>23</v>
      </c>
      <c r="O128" s="63">
        <f>+D132</f>
        <v>0</v>
      </c>
      <c r="P128" s="63">
        <f>+A126</f>
        <v>0</v>
      </c>
      <c r="Q128" s="64">
        <f>+O128*P128</f>
        <v>0</v>
      </c>
      <c r="R128" s="65">
        <f>-A126/2</f>
        <v>0</v>
      </c>
      <c r="S128" s="64">
        <f>+Q128*R128</f>
        <v>0</v>
      </c>
      <c r="T128" s="64">
        <f>+O128*(P128^3)/12</f>
        <v>0</v>
      </c>
      <c r="U128" s="64">
        <f>+Q128*(S131-R128)^2</f>
        <v>0</v>
      </c>
      <c r="V128" s="63"/>
    </row>
    <row r="129" spans="1:22" ht="12.75">
      <c r="A129" s="1">
        <f>+J127-J128</f>
        <v>45</v>
      </c>
      <c r="C129" s="1">
        <f>+A129-G127</f>
        <v>31</v>
      </c>
      <c r="D129" s="11"/>
      <c r="H129" s="59" t="s">
        <v>1</v>
      </c>
      <c r="I129" s="59"/>
      <c r="J129" s="58">
        <f>+$E$25</f>
        <v>0</v>
      </c>
      <c r="K129" s="59" t="s">
        <v>3</v>
      </c>
      <c r="L129" s="59"/>
      <c r="M129" s="59"/>
      <c r="N129" s="63" t="s">
        <v>22</v>
      </c>
      <c r="O129" s="63">
        <f>+C124</f>
        <v>62</v>
      </c>
      <c r="P129" s="63">
        <f>+G127</f>
        <v>14</v>
      </c>
      <c r="Q129" s="64">
        <f>+O129*P129</f>
        <v>868</v>
      </c>
      <c r="R129" s="65">
        <f>+G127/2</f>
        <v>7</v>
      </c>
      <c r="S129" s="64">
        <f>+Q129*R129</f>
        <v>6076</v>
      </c>
      <c r="T129" s="64">
        <f>+O129*(P129^3)/12</f>
        <v>14177.333333333334</v>
      </c>
      <c r="U129" s="64">
        <f>+Q129*(S131-R129)^2</f>
        <v>0</v>
      </c>
      <c r="V129" s="63"/>
    </row>
    <row r="130" spans="4:22" ht="12.75">
      <c r="D130" s="11"/>
      <c r="H130" s="59" t="s">
        <v>2</v>
      </c>
      <c r="I130" s="59"/>
      <c r="J130" s="58">
        <f>+$Y$43</f>
        <v>14</v>
      </c>
      <c r="K130" s="59" t="s">
        <v>3</v>
      </c>
      <c r="L130" s="59"/>
      <c r="M130" s="59"/>
      <c r="N130" s="63"/>
      <c r="O130" s="63"/>
      <c r="P130" s="63"/>
      <c r="Q130" s="66">
        <f>SUM(Q127:Q129)</f>
        <v>868</v>
      </c>
      <c r="R130" s="63"/>
      <c r="S130" s="66">
        <f>SUM(S127:S129)</f>
        <v>6076</v>
      </c>
      <c r="T130" s="66">
        <f>SUM(T127:T129)</f>
        <v>14177.333333333334</v>
      </c>
      <c r="U130" s="66">
        <f>SUM(U127:U129)</f>
        <v>0</v>
      </c>
      <c r="V130" s="63"/>
    </row>
    <row r="131" spans="4:22" ht="13.5" thickBot="1">
      <c r="D131" s="12"/>
      <c r="H131" s="59" t="s">
        <v>10</v>
      </c>
      <c r="I131" s="59"/>
      <c r="J131" s="67">
        <f>+T130+U130</f>
        <v>14177.333333333334</v>
      </c>
      <c r="K131" s="59" t="s">
        <v>11</v>
      </c>
      <c r="L131" s="59"/>
      <c r="M131" s="59"/>
      <c r="N131" s="63"/>
      <c r="O131" s="63"/>
      <c r="P131" s="63"/>
      <c r="Q131" s="63"/>
      <c r="R131" s="62" t="s">
        <v>9</v>
      </c>
      <c r="S131" s="65">
        <f>+S130/Q130</f>
        <v>7</v>
      </c>
      <c r="T131" s="63"/>
      <c r="U131" s="63"/>
      <c r="V131" s="63"/>
    </row>
    <row r="132" spans="4:22" ht="13.5" thickBot="1">
      <c r="D132" s="1">
        <f>+J129</f>
        <v>0</v>
      </c>
      <c r="H132" s="59" t="s">
        <v>12</v>
      </c>
      <c r="I132" s="59"/>
      <c r="J132" s="67">
        <f>+T132</f>
        <v>99470</v>
      </c>
      <c r="K132" s="59" t="s">
        <v>11</v>
      </c>
      <c r="L132" s="59"/>
      <c r="M132" s="59"/>
      <c r="N132" s="63" t="s">
        <v>21</v>
      </c>
      <c r="O132" s="63">
        <f>+B123</f>
        <v>435</v>
      </c>
      <c r="P132" s="63">
        <f>+J130</f>
        <v>14</v>
      </c>
      <c r="Q132" s="64">
        <f>+O132*P132</f>
        <v>6090</v>
      </c>
      <c r="R132" s="65"/>
      <c r="S132" s="64"/>
      <c r="T132" s="64">
        <f>+O132*(P132^3)/12</f>
        <v>99470</v>
      </c>
      <c r="U132" s="63"/>
      <c r="V132" s="63"/>
    </row>
    <row r="133" spans="8:22" ht="17.25" thickBot="1" thickTop="1">
      <c r="H133" s="59"/>
      <c r="I133" s="68" t="s">
        <v>89</v>
      </c>
      <c r="J133" s="69">
        <f>IF(J127=0,0,+J131/J132)</f>
        <v>0.1425287356321839</v>
      </c>
      <c r="K133" s="59"/>
      <c r="L133" s="59"/>
      <c r="M133" s="59"/>
      <c r="N133" s="59"/>
      <c r="O133" s="60"/>
      <c r="P133" s="60"/>
      <c r="Q133" s="60"/>
      <c r="R133" s="60"/>
      <c r="S133" s="60"/>
      <c r="T133" s="60"/>
      <c r="U133" s="60"/>
      <c r="V133" s="59"/>
    </row>
    <row r="134" spans="1:22" ht="15" thickTop="1">
      <c r="A134" s="25"/>
      <c r="B134" s="25"/>
      <c r="C134" s="25"/>
      <c r="D134" s="25"/>
      <c r="E134" s="25"/>
      <c r="F134" s="25"/>
      <c r="G134" s="25"/>
      <c r="H134" s="70" t="s">
        <v>87</v>
      </c>
      <c r="I134" s="71"/>
      <c r="J134" s="71"/>
      <c r="K134" s="71"/>
      <c r="L134" s="71"/>
      <c r="M134" s="71"/>
      <c r="N134" s="71"/>
      <c r="O134" s="72"/>
      <c r="P134" s="72"/>
      <c r="Q134" s="72"/>
      <c r="R134" s="72"/>
      <c r="S134" s="72"/>
      <c r="T134" s="72"/>
      <c r="U134" s="72"/>
      <c r="V134" s="71"/>
    </row>
    <row r="135" spans="8:22" ht="12.75">
      <c r="H135" s="59"/>
      <c r="I135" s="59"/>
      <c r="J135" s="59"/>
      <c r="K135" s="59"/>
      <c r="L135" s="59"/>
      <c r="M135" s="59"/>
      <c r="N135" s="59"/>
      <c r="O135" s="60"/>
      <c r="P135" s="60"/>
      <c r="Q135" s="60"/>
      <c r="R135" s="60"/>
      <c r="S135" s="60"/>
      <c r="T135" s="60"/>
      <c r="U135" s="60"/>
      <c r="V135" s="59"/>
    </row>
    <row r="136" spans="2:22" ht="12.75">
      <c r="B136" s="122">
        <f>IF(J139=0,+K139/2+D138/2,+IF(K139=0,+J139/2+D138/2,+(J139+K139)/2))</f>
        <v>485</v>
      </c>
      <c r="C136" s="122"/>
      <c r="D136" s="122"/>
      <c r="E136" s="122"/>
      <c r="F136" s="122"/>
      <c r="H136" s="59"/>
      <c r="I136" s="59"/>
      <c r="J136" s="59"/>
      <c r="K136" s="59"/>
      <c r="L136" s="59"/>
      <c r="M136" s="59"/>
      <c r="N136" s="59"/>
      <c r="O136" s="60"/>
      <c r="P136" s="60"/>
      <c r="Q136" s="60"/>
      <c r="R136" s="60"/>
      <c r="S136" s="60"/>
      <c r="T136" s="60"/>
      <c r="U136" s="60"/>
      <c r="V136" s="59"/>
    </row>
    <row r="137" spans="3:22" ht="12.75">
      <c r="C137" s="122">
        <f>SUM(C138:E138)</f>
        <v>62</v>
      </c>
      <c r="D137" s="122"/>
      <c r="E137" s="122"/>
      <c r="H137" s="58" t="s">
        <v>33</v>
      </c>
      <c r="I137" s="59"/>
      <c r="J137" s="59"/>
      <c r="K137" s="59"/>
      <c r="L137" s="59"/>
      <c r="M137" s="59"/>
      <c r="N137" s="59"/>
      <c r="O137" s="60"/>
      <c r="P137" s="60"/>
      <c r="Q137" s="60"/>
      <c r="R137" s="60"/>
      <c r="S137" s="60"/>
      <c r="T137" s="60"/>
      <c r="U137" s="60"/>
      <c r="V137" s="59"/>
    </row>
    <row r="138" spans="3:22" ht="13.5" thickBot="1">
      <c r="C138" s="8">
        <f>IF(J139=0,0,+IF(C142&gt;4*G140,4*G140,+C142))</f>
        <v>31</v>
      </c>
      <c r="D138" s="8">
        <f>+J142</f>
        <v>0</v>
      </c>
      <c r="E138" s="8">
        <f>IF(K139=0,0,+IF(C142&gt;4*G140,4*G140,+C142))</f>
        <v>31</v>
      </c>
      <c r="H138" s="59"/>
      <c r="I138" s="59"/>
      <c r="J138" s="61" t="s">
        <v>14</v>
      </c>
      <c r="K138" s="61" t="s">
        <v>15</v>
      </c>
      <c r="L138" s="59"/>
      <c r="M138" s="59"/>
      <c r="N138" s="59"/>
      <c r="O138" s="60"/>
      <c r="P138" s="60"/>
      <c r="Q138" s="60"/>
      <c r="R138" s="60"/>
      <c r="S138" s="60"/>
      <c r="T138" s="60"/>
      <c r="U138" s="60"/>
      <c r="V138" s="59"/>
    </row>
    <row r="139" spans="1:22" ht="13.5" thickBot="1">
      <c r="A139" s="1">
        <f>+J141</f>
        <v>0</v>
      </c>
      <c r="D139" s="18"/>
      <c r="H139" s="59" t="s">
        <v>13</v>
      </c>
      <c r="I139" s="59"/>
      <c r="J139" s="58">
        <f>+$E$8*100</f>
        <v>470</v>
      </c>
      <c r="K139" s="58">
        <f>+$E$14*100</f>
        <v>500</v>
      </c>
      <c r="L139" s="59" t="s">
        <v>3</v>
      </c>
      <c r="M139" s="59"/>
      <c r="N139" s="59"/>
      <c r="O139" s="62" t="s">
        <v>4</v>
      </c>
      <c r="P139" s="62" t="s">
        <v>5</v>
      </c>
      <c r="Q139" s="62" t="s">
        <v>6</v>
      </c>
      <c r="R139" s="62" t="s">
        <v>7</v>
      </c>
      <c r="S139" s="62" t="s">
        <v>8</v>
      </c>
      <c r="T139" s="62" t="s">
        <v>19</v>
      </c>
      <c r="U139" s="62" t="s">
        <v>20</v>
      </c>
      <c r="V139" s="63"/>
    </row>
    <row r="140" spans="2:22" ht="13.5" thickBot="1">
      <c r="B140" s="13"/>
      <c r="C140" s="9"/>
      <c r="D140" s="17"/>
      <c r="E140" s="10"/>
      <c r="F140" s="14"/>
      <c r="G140" s="7">
        <f>+J143</f>
        <v>14</v>
      </c>
      <c r="H140" s="59" t="s">
        <v>0</v>
      </c>
      <c r="I140" s="59"/>
      <c r="J140" s="58">
        <f>+$F$26</f>
        <v>45</v>
      </c>
      <c r="K140" s="59" t="s">
        <v>3</v>
      </c>
      <c r="L140" s="59"/>
      <c r="M140" s="59"/>
      <c r="N140" s="63" t="s">
        <v>24</v>
      </c>
      <c r="O140" s="63">
        <f>+D145</f>
        <v>0</v>
      </c>
      <c r="P140" s="63">
        <f>+C142</f>
        <v>31</v>
      </c>
      <c r="Q140" s="64">
        <f>+O140*P140</f>
        <v>0</v>
      </c>
      <c r="R140" s="65">
        <f>+G140+C142/2</f>
        <v>29.5</v>
      </c>
      <c r="S140" s="64">
        <f>+Q140*R140</f>
        <v>0</v>
      </c>
      <c r="T140" s="64">
        <f>+O140*(P140^3)/12</f>
        <v>0</v>
      </c>
      <c r="U140" s="64">
        <f>+Q140*(S144-R140)^2</f>
        <v>0</v>
      </c>
      <c r="V140" s="63"/>
    </row>
    <row r="141" spans="4:22" ht="12.75">
      <c r="D141" s="11"/>
      <c r="H141" s="59" t="s">
        <v>18</v>
      </c>
      <c r="I141" s="59"/>
      <c r="J141" s="58">
        <f>+$H$26</f>
        <v>0</v>
      </c>
      <c r="K141" s="59" t="s">
        <v>3</v>
      </c>
      <c r="L141" s="59"/>
      <c r="M141" s="59"/>
      <c r="N141" s="63" t="s">
        <v>23</v>
      </c>
      <c r="O141" s="63">
        <f>+D145</f>
        <v>0</v>
      </c>
      <c r="P141" s="63">
        <f>+A139</f>
        <v>0</v>
      </c>
      <c r="Q141" s="64">
        <f>+O141*P141</f>
        <v>0</v>
      </c>
      <c r="R141" s="65">
        <f>-A139/2</f>
        <v>0</v>
      </c>
      <c r="S141" s="64">
        <f>+Q141*R141</f>
        <v>0</v>
      </c>
      <c r="T141" s="64">
        <f>+O141*(P141^3)/12</f>
        <v>0</v>
      </c>
      <c r="U141" s="64">
        <f>+Q141*(S144-R141)^2</f>
        <v>0</v>
      </c>
      <c r="V141" s="63"/>
    </row>
    <row r="142" spans="1:22" ht="12.75">
      <c r="A142" s="1">
        <f>+J140-J141</f>
        <v>45</v>
      </c>
      <c r="C142" s="1">
        <f>+A142-G140</f>
        <v>31</v>
      </c>
      <c r="D142" s="11"/>
      <c r="H142" s="59" t="s">
        <v>1</v>
      </c>
      <c r="I142" s="59"/>
      <c r="J142" s="58">
        <f>+$E$26</f>
        <v>0</v>
      </c>
      <c r="K142" s="59" t="s">
        <v>3</v>
      </c>
      <c r="L142" s="59"/>
      <c r="M142" s="59"/>
      <c r="N142" s="63" t="s">
        <v>22</v>
      </c>
      <c r="O142" s="63">
        <f>+C137</f>
        <v>62</v>
      </c>
      <c r="P142" s="63">
        <f>+G140</f>
        <v>14</v>
      </c>
      <c r="Q142" s="64">
        <f>+O142*P142</f>
        <v>868</v>
      </c>
      <c r="R142" s="65">
        <f>+G140/2</f>
        <v>7</v>
      </c>
      <c r="S142" s="64">
        <f>+Q142*R142</f>
        <v>6076</v>
      </c>
      <c r="T142" s="64">
        <f>+O142*(P142^3)/12</f>
        <v>14177.333333333334</v>
      </c>
      <c r="U142" s="64">
        <f>+Q142*(S144-R142)^2</f>
        <v>0</v>
      </c>
      <c r="V142" s="63"/>
    </row>
    <row r="143" spans="4:22" ht="12.75">
      <c r="D143" s="11"/>
      <c r="H143" s="59" t="s">
        <v>2</v>
      </c>
      <c r="I143" s="59"/>
      <c r="J143" s="58">
        <f>+$Y$43</f>
        <v>14</v>
      </c>
      <c r="K143" s="59" t="s">
        <v>3</v>
      </c>
      <c r="L143" s="59"/>
      <c r="M143" s="59"/>
      <c r="N143" s="63"/>
      <c r="O143" s="63"/>
      <c r="P143" s="63"/>
      <c r="Q143" s="66">
        <f>SUM(Q140:Q142)</f>
        <v>868</v>
      </c>
      <c r="R143" s="63"/>
      <c r="S143" s="66">
        <f>SUM(S140:S142)</f>
        <v>6076</v>
      </c>
      <c r="T143" s="66">
        <f>SUM(T140:T142)</f>
        <v>14177.333333333334</v>
      </c>
      <c r="U143" s="66">
        <f>SUM(U140:U142)</f>
        <v>0</v>
      </c>
      <c r="V143" s="63"/>
    </row>
    <row r="144" spans="4:22" ht="13.5" thickBot="1">
      <c r="D144" s="12"/>
      <c r="H144" s="59" t="s">
        <v>10</v>
      </c>
      <c r="I144" s="59"/>
      <c r="J144" s="67">
        <f>+T143+U143</f>
        <v>14177.333333333334</v>
      </c>
      <c r="K144" s="59" t="s">
        <v>11</v>
      </c>
      <c r="L144" s="59"/>
      <c r="M144" s="59"/>
      <c r="N144" s="63"/>
      <c r="O144" s="63"/>
      <c r="P144" s="63"/>
      <c r="Q144" s="63"/>
      <c r="R144" s="62" t="s">
        <v>9</v>
      </c>
      <c r="S144" s="65">
        <f>+S143/Q143</f>
        <v>7</v>
      </c>
      <c r="T144" s="63"/>
      <c r="U144" s="63"/>
      <c r="V144" s="63"/>
    </row>
    <row r="145" spans="4:22" ht="13.5" thickBot="1">
      <c r="D145" s="1">
        <f>+J142</f>
        <v>0</v>
      </c>
      <c r="H145" s="59" t="s">
        <v>12</v>
      </c>
      <c r="I145" s="59"/>
      <c r="J145" s="67">
        <f>+T145</f>
        <v>110903.33333333333</v>
      </c>
      <c r="K145" s="59" t="s">
        <v>11</v>
      </c>
      <c r="L145" s="59"/>
      <c r="M145" s="59"/>
      <c r="N145" s="63" t="s">
        <v>21</v>
      </c>
      <c r="O145" s="63">
        <f>+B136</f>
        <v>485</v>
      </c>
      <c r="P145" s="63">
        <f>+J143</f>
        <v>14</v>
      </c>
      <c r="Q145" s="64">
        <f>+O145*P145</f>
        <v>6790</v>
      </c>
      <c r="R145" s="65"/>
      <c r="S145" s="64"/>
      <c r="T145" s="64">
        <f>+O145*(P145^3)/12</f>
        <v>110903.33333333333</v>
      </c>
      <c r="U145" s="63"/>
      <c r="V145" s="63"/>
    </row>
    <row r="146" spans="8:22" ht="17.25" thickBot="1" thickTop="1">
      <c r="H146" s="59"/>
      <c r="I146" s="68" t="s">
        <v>90</v>
      </c>
      <c r="J146" s="69">
        <f>IF(J140=0,0,+J144/J145)</f>
        <v>0.12783505154639177</v>
      </c>
      <c r="K146" s="59"/>
      <c r="L146" s="59"/>
      <c r="M146" s="59"/>
      <c r="N146" s="59"/>
      <c r="O146" s="60"/>
      <c r="P146" s="60"/>
      <c r="Q146" s="60"/>
      <c r="R146" s="60"/>
      <c r="S146" s="60"/>
      <c r="T146" s="60"/>
      <c r="U146" s="60"/>
      <c r="V146" s="59"/>
    </row>
    <row r="147" spans="1:22" ht="15" thickTop="1">
      <c r="A147" s="25"/>
      <c r="B147" s="25"/>
      <c r="C147" s="25"/>
      <c r="D147" s="25"/>
      <c r="E147" s="25"/>
      <c r="F147" s="25"/>
      <c r="G147" s="25"/>
      <c r="H147" s="70" t="s">
        <v>87</v>
      </c>
      <c r="I147" s="71"/>
      <c r="J147" s="71"/>
      <c r="K147" s="71"/>
      <c r="L147" s="71"/>
      <c r="M147" s="71"/>
      <c r="N147" s="71"/>
      <c r="O147" s="72"/>
      <c r="P147" s="72"/>
      <c r="Q147" s="72"/>
      <c r="R147" s="72"/>
      <c r="S147" s="72"/>
      <c r="T147" s="72"/>
      <c r="U147" s="72"/>
      <c r="V147" s="71"/>
    </row>
    <row r="149" spans="1:24" ht="13.5" thickBot="1">
      <c r="A149" s="78" t="s">
        <v>97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30"/>
      <c r="P149" s="30"/>
      <c r="Q149" s="30"/>
      <c r="R149" s="30"/>
      <c r="S149" s="30"/>
      <c r="T149" s="30"/>
      <c r="U149" s="30"/>
      <c r="V149" s="29"/>
      <c r="X149" t="s">
        <v>97</v>
      </c>
    </row>
    <row r="150" spans="2:28" ht="15.75" thickBot="1">
      <c r="B150" s="122">
        <f>IF(J153=0,+K153/2+D152/2,+IF(K153=0,+J153/2+D152/2,+(J153+K153)/2))</f>
        <v>390</v>
      </c>
      <c r="C150" s="122"/>
      <c r="D150" s="122"/>
      <c r="E150" s="122"/>
      <c r="F150" s="122"/>
      <c r="W150" s="50"/>
      <c r="X150" s="51" t="s">
        <v>82</v>
      </c>
      <c r="Y150" s="52">
        <f>ROUND(IF(Z154&lt;0.2,+W163,+IF(Z154&lt;2,+X163,+Y163))*AB150,0)</f>
        <v>14</v>
      </c>
      <c r="Z150" s="53" t="s">
        <v>3</v>
      </c>
      <c r="AB150">
        <f>IF(Z154&lt;0.2,1,+AB151)</f>
        <v>1</v>
      </c>
    </row>
    <row r="151" spans="3:28" ht="12.75">
      <c r="C151" s="122">
        <f>SUM(C152:E152)</f>
        <v>72</v>
      </c>
      <c r="D151" s="122"/>
      <c r="E151" s="122"/>
      <c r="H151" s="79" t="s">
        <v>30</v>
      </c>
      <c r="I151" s="80"/>
      <c r="J151" s="80"/>
      <c r="K151" s="80"/>
      <c r="L151" s="80"/>
      <c r="M151" s="80"/>
      <c r="N151" s="80"/>
      <c r="O151" s="81"/>
      <c r="P151" s="81"/>
      <c r="Q151" s="81"/>
      <c r="R151" s="81"/>
      <c r="S151" s="81"/>
      <c r="T151" s="81"/>
      <c r="U151" s="81"/>
      <c r="V151" s="80"/>
      <c r="W151" s="2" t="s">
        <v>104</v>
      </c>
      <c r="X151">
        <f>+Y97</f>
        <v>14</v>
      </c>
      <c r="Y151" t="s">
        <v>3</v>
      </c>
      <c r="AB151" s="31">
        <f>MAX(AB152:AB155)</f>
        <v>1</v>
      </c>
    </row>
    <row r="152" spans="3:28" ht="16.5" thickBot="1">
      <c r="C152" s="8">
        <f>IF(J153=0,0,+IF(C156&gt;4*G154,4*G154,+C156))</f>
        <v>36</v>
      </c>
      <c r="D152" s="8">
        <f>+J156</f>
        <v>0</v>
      </c>
      <c r="E152" s="8">
        <f>IF(K153=0,0,+IF(C156&gt;4*G154,4*G154,+C156))</f>
        <v>36</v>
      </c>
      <c r="H152" s="80"/>
      <c r="I152" s="80"/>
      <c r="J152" s="82" t="s">
        <v>14</v>
      </c>
      <c r="K152" s="82" t="s">
        <v>15</v>
      </c>
      <c r="L152" s="80"/>
      <c r="M152" s="80"/>
      <c r="N152" s="80"/>
      <c r="O152" s="81"/>
      <c r="P152" s="81"/>
      <c r="Q152" s="81"/>
      <c r="R152" s="81"/>
      <c r="S152" s="81"/>
      <c r="T152" s="81"/>
      <c r="U152" s="81"/>
      <c r="V152" s="80"/>
      <c r="W152" s="37" t="s">
        <v>63</v>
      </c>
      <c r="X152" s="36">
        <f>+J160</f>
        <v>0.18461538461538463</v>
      </c>
      <c r="AA152">
        <f>+$G$11</f>
        <v>1</v>
      </c>
      <c r="AB152">
        <f>IF(AA152=1,1,+IF(X152&gt;=0.8,1,1.1))</f>
        <v>1</v>
      </c>
    </row>
    <row r="153" spans="1:28" ht="16.5" thickBot="1">
      <c r="A153" s="1">
        <f>+J155</f>
        <v>0</v>
      </c>
      <c r="D153" s="18"/>
      <c r="H153" s="80" t="s">
        <v>13</v>
      </c>
      <c r="I153" s="80"/>
      <c r="J153" s="79">
        <f>+$E$11*100</f>
        <v>330</v>
      </c>
      <c r="K153" s="79">
        <f>+$E$7*100</f>
        <v>450</v>
      </c>
      <c r="L153" s="80" t="s">
        <v>3</v>
      </c>
      <c r="M153" s="80"/>
      <c r="N153" s="80"/>
      <c r="O153" s="83" t="s">
        <v>4</v>
      </c>
      <c r="P153" s="83" t="s">
        <v>5</v>
      </c>
      <c r="Q153" s="83" t="s">
        <v>6</v>
      </c>
      <c r="R153" s="83" t="s">
        <v>7</v>
      </c>
      <c r="S153" s="83" t="s">
        <v>8</v>
      </c>
      <c r="T153" s="83" t="s">
        <v>19</v>
      </c>
      <c r="U153" s="83" t="s">
        <v>20</v>
      </c>
      <c r="V153" s="84"/>
      <c r="W153" s="37" t="s">
        <v>64</v>
      </c>
      <c r="X153" s="36">
        <f>+J120</f>
        <v>0.18461538461538463</v>
      </c>
      <c r="AA153">
        <f>+$G$12</f>
        <v>1</v>
      </c>
      <c r="AB153">
        <f>IF(AA153=1,1,+IF(X153&gt;=0.8,1,1.1))</f>
        <v>1</v>
      </c>
    </row>
    <row r="154" spans="2:28" ht="17.25" thickBot="1" thickTop="1">
      <c r="B154" s="13"/>
      <c r="C154" s="9"/>
      <c r="D154" s="17"/>
      <c r="E154" s="10"/>
      <c r="F154" s="14"/>
      <c r="G154" s="7">
        <f>+J157</f>
        <v>14</v>
      </c>
      <c r="H154" s="80" t="s">
        <v>0</v>
      </c>
      <c r="I154" s="80"/>
      <c r="J154" s="79">
        <f>+$F$23</f>
        <v>50</v>
      </c>
      <c r="K154" s="80" t="s">
        <v>3</v>
      </c>
      <c r="L154" s="80"/>
      <c r="M154" s="80"/>
      <c r="N154" s="84" t="s">
        <v>24</v>
      </c>
      <c r="O154" s="84">
        <f>+D159</f>
        <v>0</v>
      </c>
      <c r="P154" s="84">
        <f>+C156</f>
        <v>36</v>
      </c>
      <c r="Q154" s="85">
        <f>+O154*P154</f>
        <v>0</v>
      </c>
      <c r="R154" s="86">
        <f>+G154+C156/2</f>
        <v>32</v>
      </c>
      <c r="S154" s="85">
        <f>+Q154*R154</f>
        <v>0</v>
      </c>
      <c r="T154" s="85">
        <f>+O154*(P154^3)/12</f>
        <v>0</v>
      </c>
      <c r="U154" s="85">
        <f>+Q154*(S158-R154)^2</f>
        <v>0</v>
      </c>
      <c r="V154" s="84"/>
      <c r="W154" s="37" t="s">
        <v>65</v>
      </c>
      <c r="X154" s="36">
        <f>+J186</f>
        <v>0.1425287356321839</v>
      </c>
      <c r="Y154" s="5" t="s">
        <v>51</v>
      </c>
      <c r="Z154" s="6">
        <f>SUM(X152:X155)/4</f>
        <v>0.15989863910233623</v>
      </c>
      <c r="AA154">
        <f>+$G$13</f>
        <v>1</v>
      </c>
      <c r="AB154">
        <f>IF(AA154=1,1,+IF(X154&gt;=0.8,1,1.1))</f>
        <v>1</v>
      </c>
    </row>
    <row r="155" spans="4:28" ht="15.75">
      <c r="D155" s="11"/>
      <c r="H155" s="80" t="s">
        <v>18</v>
      </c>
      <c r="I155" s="80"/>
      <c r="J155" s="79">
        <f>+$H$23</f>
        <v>0</v>
      </c>
      <c r="K155" s="80" t="s">
        <v>3</v>
      </c>
      <c r="L155" s="80"/>
      <c r="M155" s="80"/>
      <c r="N155" s="84" t="s">
        <v>23</v>
      </c>
      <c r="O155" s="84">
        <f>+D159</f>
        <v>0</v>
      </c>
      <c r="P155" s="84">
        <f>+A153</f>
        <v>0</v>
      </c>
      <c r="Q155" s="85">
        <f>+O155*P155</f>
        <v>0</v>
      </c>
      <c r="R155" s="86">
        <f>-A153/2</f>
        <v>0</v>
      </c>
      <c r="S155" s="85">
        <f>+Q155*R155</f>
        <v>0</v>
      </c>
      <c r="T155" s="85">
        <f>+O155*(P155^3)/12</f>
        <v>0</v>
      </c>
      <c r="U155" s="85">
        <f>+Q155*(S158-R155)^2</f>
        <v>0</v>
      </c>
      <c r="V155" s="84"/>
      <c r="W155" s="37" t="s">
        <v>66</v>
      </c>
      <c r="X155" s="36">
        <f>+J199</f>
        <v>0.12783505154639177</v>
      </c>
      <c r="AA155">
        <f>+$G$14</f>
        <v>1</v>
      </c>
      <c r="AB155">
        <f>IF(AA155=1,1,+IF(X155&gt;=0.8,1,1.1))</f>
        <v>1</v>
      </c>
    </row>
    <row r="156" spans="1:26" ht="12.75">
      <c r="A156" s="1">
        <f>+J154-J155</f>
        <v>50</v>
      </c>
      <c r="C156" s="1">
        <f>+A156-G154</f>
        <v>36</v>
      </c>
      <c r="D156" s="11"/>
      <c r="H156" s="80" t="s">
        <v>1</v>
      </c>
      <c r="I156" s="80"/>
      <c r="J156" s="79">
        <f>+$E$23</f>
        <v>0</v>
      </c>
      <c r="K156" s="80" t="s">
        <v>3</v>
      </c>
      <c r="L156" s="80"/>
      <c r="M156" s="80"/>
      <c r="N156" s="84" t="s">
        <v>22</v>
      </c>
      <c r="O156" s="84">
        <f>+C151</f>
        <v>72</v>
      </c>
      <c r="P156" s="84">
        <f>+G154</f>
        <v>14</v>
      </c>
      <c r="Q156" s="85">
        <f>+O156*P156</f>
        <v>1008</v>
      </c>
      <c r="R156" s="86">
        <f>+G154/2</f>
        <v>7</v>
      </c>
      <c r="S156" s="85">
        <f>+Q156*R156</f>
        <v>7056</v>
      </c>
      <c r="T156" s="85">
        <f>+O156*(P156^3)/12</f>
        <v>16464</v>
      </c>
      <c r="U156" s="85">
        <f>+Q156*(S158-R156)^2</f>
        <v>0</v>
      </c>
      <c r="V156" s="84"/>
      <c r="X156" s="19"/>
      <c r="Y156" s="19"/>
      <c r="Z156" s="19"/>
    </row>
    <row r="157" spans="4:26" ht="12.75">
      <c r="D157" s="11"/>
      <c r="H157" s="80" t="s">
        <v>2</v>
      </c>
      <c r="I157" s="80"/>
      <c r="J157" s="79">
        <f>+$Y97</f>
        <v>14</v>
      </c>
      <c r="K157" s="80" t="s">
        <v>3</v>
      </c>
      <c r="L157" s="80"/>
      <c r="M157" s="80"/>
      <c r="N157" s="84"/>
      <c r="O157" s="84"/>
      <c r="P157" s="84"/>
      <c r="Q157" s="87">
        <f>SUM(Q154:Q156)</f>
        <v>1008</v>
      </c>
      <c r="R157" s="84"/>
      <c r="S157" s="87">
        <f>SUM(S154:S156)</f>
        <v>7056</v>
      </c>
      <c r="T157" s="87">
        <f>SUM(T154:T156)</f>
        <v>16464</v>
      </c>
      <c r="U157" s="87">
        <f>SUM(U154:U156)</f>
        <v>0</v>
      </c>
      <c r="V157" s="84"/>
      <c r="W157" s="47" t="s">
        <v>73</v>
      </c>
      <c r="X157" s="47" t="s">
        <v>74</v>
      </c>
      <c r="Y157" s="47" t="s">
        <v>75</v>
      </c>
      <c r="Z157" s="19"/>
    </row>
    <row r="158" spans="4:26" ht="13.5" thickBot="1">
      <c r="D158" s="12"/>
      <c r="H158" s="80" t="s">
        <v>10</v>
      </c>
      <c r="I158" s="80"/>
      <c r="J158" s="88">
        <f>+T157+U157</f>
        <v>16464</v>
      </c>
      <c r="K158" s="80" t="s">
        <v>11</v>
      </c>
      <c r="L158" s="80"/>
      <c r="M158" s="80"/>
      <c r="N158" s="84"/>
      <c r="O158" s="84"/>
      <c r="P158" s="84"/>
      <c r="Q158" s="84"/>
      <c r="R158" s="83" t="s">
        <v>9</v>
      </c>
      <c r="S158" s="86">
        <f>+S157/Q157</f>
        <v>7</v>
      </c>
      <c r="T158" s="84"/>
      <c r="U158" s="84"/>
      <c r="V158" s="84"/>
      <c r="W158" s="42">
        <f>$E$39/$AA$3*100</f>
        <v>14.242424242424242</v>
      </c>
      <c r="X158" s="42">
        <f>(+$E$39*100*(0.8+$H$6/200000))/(36+5*$E$38*(Z154-0.2))</f>
        <v>14.505274406056218</v>
      </c>
      <c r="Y158" s="42">
        <f>(+$E$39*100*(0.8+$H$6/200000))/(36+9*$E$38)</f>
        <v>11.435070702643172</v>
      </c>
      <c r="Z158" s="19"/>
    </row>
    <row r="159" spans="4:26" ht="13.5" thickBot="1">
      <c r="D159" s="1">
        <f>+J156</f>
        <v>0</v>
      </c>
      <c r="H159" s="80" t="s">
        <v>12</v>
      </c>
      <c r="I159" s="80"/>
      <c r="J159" s="88">
        <f>+T159</f>
        <v>89180</v>
      </c>
      <c r="K159" s="80" t="s">
        <v>11</v>
      </c>
      <c r="L159" s="80"/>
      <c r="M159" s="80"/>
      <c r="N159" s="84" t="s">
        <v>21</v>
      </c>
      <c r="O159" s="84">
        <f>+B150</f>
        <v>390</v>
      </c>
      <c r="P159" s="84">
        <f>+J157</f>
        <v>14</v>
      </c>
      <c r="Q159" s="85">
        <f>+O159*P159</f>
        <v>5460</v>
      </c>
      <c r="R159" s="86"/>
      <c r="S159" s="85"/>
      <c r="T159" s="85">
        <f>+O159*(P159^3)/12</f>
        <v>89180</v>
      </c>
      <c r="U159" s="84"/>
      <c r="V159" s="84"/>
      <c r="W159" s="41">
        <f>INT(W158)</f>
        <v>14</v>
      </c>
      <c r="X159" s="41">
        <f>INT(X158)</f>
        <v>14</v>
      </c>
      <c r="Y159" s="41">
        <f>INT(Y158)</f>
        <v>11</v>
      </c>
      <c r="Z159" s="19"/>
    </row>
    <row r="160" spans="8:26" ht="17.25" thickBot="1" thickTop="1">
      <c r="H160" s="80"/>
      <c r="I160" s="89" t="s">
        <v>91</v>
      </c>
      <c r="J160" s="90">
        <f>IF(J154=0,0,+J158/J159)</f>
        <v>0.18461538461538463</v>
      </c>
      <c r="K160" s="80"/>
      <c r="L160" s="80"/>
      <c r="M160" s="80"/>
      <c r="N160" s="80"/>
      <c r="O160" s="81"/>
      <c r="P160" s="81"/>
      <c r="Q160" s="81"/>
      <c r="R160" s="81"/>
      <c r="S160" s="81"/>
      <c r="T160" s="81"/>
      <c r="U160" s="81"/>
      <c r="V160" s="80"/>
      <c r="W160" s="42">
        <f>+W158-W159</f>
        <v>0.2424242424242422</v>
      </c>
      <c r="X160" s="42">
        <f>+X158-X159</f>
        <v>0.505274406056218</v>
      </c>
      <c r="Y160" s="42">
        <f>+Y158-Y159</f>
        <v>0.4350707026431717</v>
      </c>
      <c r="Z160" s="19"/>
    </row>
    <row r="161" spans="1:26" ht="15" thickTop="1">
      <c r="A161" s="25"/>
      <c r="B161" s="25"/>
      <c r="C161" s="25"/>
      <c r="D161" s="25"/>
      <c r="E161" s="25"/>
      <c r="F161" s="25"/>
      <c r="G161" s="25"/>
      <c r="H161" s="91" t="s">
        <v>92</v>
      </c>
      <c r="I161" s="92"/>
      <c r="J161" s="92"/>
      <c r="K161" s="92"/>
      <c r="L161" s="92"/>
      <c r="M161" s="92"/>
      <c r="N161" s="92"/>
      <c r="O161" s="93"/>
      <c r="P161" s="93"/>
      <c r="Q161" s="93"/>
      <c r="R161" s="93"/>
      <c r="S161" s="93"/>
      <c r="T161" s="93"/>
      <c r="U161" s="93"/>
      <c r="V161" s="92"/>
      <c r="W161" s="48">
        <f>IF(W160&gt;0.39,+W159+1,+W159)</f>
        <v>14</v>
      </c>
      <c r="X161" s="48">
        <f>IF(X160&gt;0.39,+X159+1,+X159)</f>
        <v>15</v>
      </c>
      <c r="Y161" s="48">
        <f>IF(Y160&gt;0.39,+Y159+1,+Y159)</f>
        <v>12</v>
      </c>
      <c r="Z161" s="19"/>
    </row>
    <row r="162" spans="8:26" ht="12.75">
      <c r="H162" s="80"/>
      <c r="I162" s="80"/>
      <c r="J162" s="80"/>
      <c r="K162" s="80"/>
      <c r="L162" s="80"/>
      <c r="M162" s="80"/>
      <c r="N162" s="80"/>
      <c r="O162" s="81"/>
      <c r="P162" s="81"/>
      <c r="Q162" s="81"/>
      <c r="R162" s="81"/>
      <c r="S162" s="81"/>
      <c r="T162" s="81"/>
      <c r="U162" s="81"/>
      <c r="V162" s="80"/>
      <c r="W162" s="41">
        <f>5*2.54</f>
        <v>12.7</v>
      </c>
      <c r="X162" s="41">
        <f>5*2.54</f>
        <v>12.7</v>
      </c>
      <c r="Y162" s="41">
        <f>3.5*2.54</f>
        <v>8.89</v>
      </c>
      <c r="Z162" s="19"/>
    </row>
    <row r="163" spans="2:26" ht="12.75">
      <c r="B163" s="122">
        <f>IF(J166=0,+K166/2+D165/2,+IF(K166=0,+J166/2+D165/2,+(J166+K166)/2))</f>
        <v>390</v>
      </c>
      <c r="C163" s="122"/>
      <c r="D163" s="122"/>
      <c r="E163" s="122"/>
      <c r="F163" s="122"/>
      <c r="H163" s="80"/>
      <c r="I163" s="80"/>
      <c r="J163" s="80"/>
      <c r="K163" s="80"/>
      <c r="L163" s="80"/>
      <c r="M163" s="80"/>
      <c r="N163" s="80"/>
      <c r="O163" s="81"/>
      <c r="P163" s="81"/>
      <c r="Q163" s="81"/>
      <c r="R163" s="81"/>
      <c r="S163" s="81"/>
      <c r="T163" s="81"/>
      <c r="U163" s="81"/>
      <c r="V163" s="80"/>
      <c r="W163" s="48">
        <f>IF(W161&lt;W162,+ROUND(W162,0),+W161)</f>
        <v>14</v>
      </c>
      <c r="X163" s="48">
        <f>IF(X161&lt;X162,+ROUND(X162,0),+X161)</f>
        <v>15</v>
      </c>
      <c r="Y163" s="48">
        <f>IF(Y161&lt;Y162,+ROUND(Y162,0),+Y161)</f>
        <v>12</v>
      </c>
      <c r="Z163" s="19"/>
    </row>
    <row r="164" spans="3:26" ht="12.75">
      <c r="C164" s="122">
        <f>SUM(C165:E165)</f>
        <v>72</v>
      </c>
      <c r="D164" s="122"/>
      <c r="E164" s="122"/>
      <c r="H164" s="79" t="s">
        <v>31</v>
      </c>
      <c r="I164" s="80"/>
      <c r="J164" s="80"/>
      <c r="K164" s="80"/>
      <c r="L164" s="80"/>
      <c r="M164" s="80"/>
      <c r="N164" s="80"/>
      <c r="O164" s="81"/>
      <c r="P164" s="81"/>
      <c r="Q164" s="81"/>
      <c r="R164" s="81"/>
      <c r="S164" s="81"/>
      <c r="T164" s="81"/>
      <c r="U164" s="81"/>
      <c r="V164" s="80"/>
      <c r="Z164" s="19"/>
    </row>
    <row r="165" spans="3:26" ht="13.5" thickBot="1">
      <c r="C165" s="8">
        <f>IF(J166=0,0,+IF(C169&gt;4*G167,4*G167,+C169))</f>
        <v>36</v>
      </c>
      <c r="D165" s="8">
        <f>+J169</f>
        <v>0</v>
      </c>
      <c r="E165" s="8">
        <f>IF(K166=0,0,+IF(C169&gt;4*G167,4*G167,+C169))</f>
        <v>36</v>
      </c>
      <c r="H165" s="80"/>
      <c r="I165" s="80"/>
      <c r="J165" s="82" t="s">
        <v>14</v>
      </c>
      <c r="K165" s="82" t="s">
        <v>15</v>
      </c>
      <c r="L165" s="80"/>
      <c r="M165" s="80"/>
      <c r="N165" s="80"/>
      <c r="O165" s="81"/>
      <c r="P165" s="81"/>
      <c r="Q165" s="81"/>
      <c r="R165" s="81"/>
      <c r="S165" s="81"/>
      <c r="T165" s="81"/>
      <c r="U165" s="81"/>
      <c r="V165" s="80"/>
      <c r="Z165" s="19"/>
    </row>
    <row r="166" spans="1:26" ht="13.5" thickBot="1">
      <c r="A166" s="1">
        <f>+J168</f>
        <v>0</v>
      </c>
      <c r="D166" s="18"/>
      <c r="H166" s="80" t="s">
        <v>13</v>
      </c>
      <c r="I166" s="80"/>
      <c r="J166" s="79">
        <f>+$E$7*100</f>
        <v>450</v>
      </c>
      <c r="K166" s="79">
        <f>+$E$12*100</f>
        <v>330</v>
      </c>
      <c r="L166" s="80" t="s">
        <v>3</v>
      </c>
      <c r="M166" s="80"/>
      <c r="N166" s="80"/>
      <c r="O166" s="83" t="s">
        <v>4</v>
      </c>
      <c r="P166" s="83" t="s">
        <v>5</v>
      </c>
      <c r="Q166" s="83" t="s">
        <v>6</v>
      </c>
      <c r="R166" s="83" t="s">
        <v>7</v>
      </c>
      <c r="S166" s="83" t="s">
        <v>8</v>
      </c>
      <c r="T166" s="83" t="s">
        <v>19</v>
      </c>
      <c r="U166" s="83" t="s">
        <v>20</v>
      </c>
      <c r="V166" s="84"/>
      <c r="Z166" s="19"/>
    </row>
    <row r="167" spans="2:26" ht="13.5" thickBot="1">
      <c r="B167" s="13"/>
      <c r="C167" s="9"/>
      <c r="D167" s="17"/>
      <c r="E167" s="10"/>
      <c r="F167" s="14"/>
      <c r="G167" s="7">
        <f>+J170</f>
        <v>14</v>
      </c>
      <c r="H167" s="80" t="s">
        <v>0</v>
      </c>
      <c r="I167" s="80"/>
      <c r="J167" s="79">
        <f>+$F$24</f>
        <v>50</v>
      </c>
      <c r="K167" s="80" t="s">
        <v>3</v>
      </c>
      <c r="L167" s="80"/>
      <c r="M167" s="80"/>
      <c r="N167" s="84" t="s">
        <v>24</v>
      </c>
      <c r="O167" s="84">
        <f>+D172</f>
        <v>0</v>
      </c>
      <c r="P167" s="84">
        <f>+C169</f>
        <v>36</v>
      </c>
      <c r="Q167" s="85">
        <f>+O167*P167</f>
        <v>0</v>
      </c>
      <c r="R167" s="86">
        <f>+G167+C169/2</f>
        <v>32</v>
      </c>
      <c r="S167" s="85">
        <f>+Q167*R167</f>
        <v>0</v>
      </c>
      <c r="T167" s="85">
        <f>+O167*(P167^3)/12</f>
        <v>0</v>
      </c>
      <c r="U167" s="85">
        <f>+Q167*(S171-R167)^2</f>
        <v>0</v>
      </c>
      <c r="V167" s="84"/>
      <c r="Z167" s="19"/>
    </row>
    <row r="168" spans="4:26" ht="12.75">
      <c r="D168" s="11"/>
      <c r="H168" s="80" t="s">
        <v>18</v>
      </c>
      <c r="I168" s="80"/>
      <c r="J168" s="79">
        <f>+$H$24</f>
        <v>0</v>
      </c>
      <c r="K168" s="80" t="s">
        <v>3</v>
      </c>
      <c r="L168" s="80"/>
      <c r="M168" s="80"/>
      <c r="N168" s="84" t="s">
        <v>23</v>
      </c>
      <c r="O168" s="84">
        <f>+D172</f>
        <v>0</v>
      </c>
      <c r="P168" s="84">
        <f>+A166</f>
        <v>0</v>
      </c>
      <c r="Q168" s="85">
        <f>+O168*P168</f>
        <v>0</v>
      </c>
      <c r="R168" s="86">
        <f>-A166/2</f>
        <v>0</v>
      </c>
      <c r="S168" s="85">
        <f>+Q168*R168</f>
        <v>0</v>
      </c>
      <c r="T168" s="85">
        <f>+O168*(P168^3)/12</f>
        <v>0</v>
      </c>
      <c r="U168" s="85">
        <f>+Q168*(S171-R168)^2</f>
        <v>0</v>
      </c>
      <c r="V168" s="84"/>
      <c r="Z168" s="19"/>
    </row>
    <row r="169" spans="1:22" ht="12.75">
      <c r="A169" s="1">
        <f>+J167-J168</f>
        <v>50</v>
      </c>
      <c r="C169" s="1">
        <f>+A169-G167</f>
        <v>36</v>
      </c>
      <c r="D169" s="11"/>
      <c r="H169" s="80" t="s">
        <v>1</v>
      </c>
      <c r="I169" s="80"/>
      <c r="J169" s="79">
        <f>+$E$24</f>
        <v>0</v>
      </c>
      <c r="K169" s="80" t="s">
        <v>3</v>
      </c>
      <c r="L169" s="80"/>
      <c r="M169" s="80"/>
      <c r="N169" s="84" t="s">
        <v>22</v>
      </c>
      <c r="O169" s="84">
        <f>+C164</f>
        <v>72</v>
      </c>
      <c r="P169" s="84">
        <f>+G167</f>
        <v>14</v>
      </c>
      <c r="Q169" s="85">
        <f>+O169*P169</f>
        <v>1008</v>
      </c>
      <c r="R169" s="86">
        <f>+G167/2</f>
        <v>7</v>
      </c>
      <c r="S169" s="85">
        <f>+Q169*R169</f>
        <v>7056</v>
      </c>
      <c r="T169" s="85">
        <f>+O169*(P169^3)/12</f>
        <v>16464</v>
      </c>
      <c r="U169" s="85">
        <f>+Q169*(S171-R169)^2</f>
        <v>0</v>
      </c>
      <c r="V169" s="84"/>
    </row>
    <row r="170" spans="4:22" ht="12.75">
      <c r="D170" s="11"/>
      <c r="H170" s="80" t="s">
        <v>2</v>
      </c>
      <c r="I170" s="80"/>
      <c r="J170" s="79">
        <f>+$Y97</f>
        <v>14</v>
      </c>
      <c r="K170" s="80" t="s">
        <v>3</v>
      </c>
      <c r="L170" s="80"/>
      <c r="M170" s="80"/>
      <c r="N170" s="84"/>
      <c r="O170" s="84"/>
      <c r="P170" s="84"/>
      <c r="Q170" s="87">
        <f>SUM(Q167:Q169)</f>
        <v>1008</v>
      </c>
      <c r="R170" s="84"/>
      <c r="S170" s="87">
        <f>SUM(S167:S169)</f>
        <v>7056</v>
      </c>
      <c r="T170" s="87">
        <f>SUM(T167:T169)</f>
        <v>16464</v>
      </c>
      <c r="U170" s="87">
        <f>SUM(U167:U169)</f>
        <v>0</v>
      </c>
      <c r="V170" s="84"/>
    </row>
    <row r="171" spans="4:22" ht="13.5" thickBot="1">
      <c r="D171" s="12"/>
      <c r="H171" s="80" t="s">
        <v>10</v>
      </c>
      <c r="I171" s="80"/>
      <c r="J171" s="88">
        <f>+T170+U170</f>
        <v>16464</v>
      </c>
      <c r="K171" s="80" t="s">
        <v>11</v>
      </c>
      <c r="L171" s="80"/>
      <c r="M171" s="80"/>
      <c r="N171" s="84"/>
      <c r="O171" s="84"/>
      <c r="P171" s="84"/>
      <c r="Q171" s="84"/>
      <c r="R171" s="83" t="s">
        <v>9</v>
      </c>
      <c r="S171" s="86">
        <f>+S170/Q170</f>
        <v>7</v>
      </c>
      <c r="T171" s="84"/>
      <c r="U171" s="84"/>
      <c r="V171" s="84"/>
    </row>
    <row r="172" spans="4:22" ht="13.5" thickBot="1">
      <c r="D172" s="1">
        <f>+J169</f>
        <v>0</v>
      </c>
      <c r="H172" s="80" t="s">
        <v>12</v>
      </c>
      <c r="I172" s="80"/>
      <c r="J172" s="88">
        <f>+T172</f>
        <v>89180</v>
      </c>
      <c r="K172" s="80" t="s">
        <v>11</v>
      </c>
      <c r="L172" s="80"/>
      <c r="M172" s="80"/>
      <c r="N172" s="84" t="s">
        <v>21</v>
      </c>
      <c r="O172" s="84">
        <f>+B163</f>
        <v>390</v>
      </c>
      <c r="P172" s="84">
        <f>+J170</f>
        <v>14</v>
      </c>
      <c r="Q172" s="85">
        <f>+O172*P172</f>
        <v>5460</v>
      </c>
      <c r="R172" s="86"/>
      <c r="S172" s="85"/>
      <c r="T172" s="85">
        <f>+O172*(P172^3)/12</f>
        <v>89180</v>
      </c>
      <c r="U172" s="84"/>
      <c r="V172" s="84"/>
    </row>
    <row r="173" spans="8:22" ht="17.25" thickBot="1" thickTop="1">
      <c r="H173" s="80"/>
      <c r="I173" s="89" t="s">
        <v>93</v>
      </c>
      <c r="J173" s="90">
        <f>IF(J167=0,0,+J171/J172)</f>
        <v>0.18461538461538463</v>
      </c>
      <c r="K173" s="80"/>
      <c r="L173" s="80"/>
      <c r="M173" s="80"/>
      <c r="N173" s="80"/>
      <c r="O173" s="81"/>
      <c r="P173" s="81"/>
      <c r="Q173" s="81"/>
      <c r="R173" s="81"/>
      <c r="S173" s="81"/>
      <c r="T173" s="81"/>
      <c r="U173" s="81"/>
      <c r="V173" s="80"/>
    </row>
    <row r="174" spans="1:22" ht="15" thickTop="1">
      <c r="A174" s="25"/>
      <c r="B174" s="25"/>
      <c r="C174" s="25"/>
      <c r="D174" s="25"/>
      <c r="E174" s="25"/>
      <c r="F174" s="25"/>
      <c r="G174" s="25"/>
      <c r="H174" s="91" t="s">
        <v>92</v>
      </c>
      <c r="I174" s="92"/>
      <c r="J174" s="92"/>
      <c r="K174" s="92"/>
      <c r="L174" s="92"/>
      <c r="M174" s="92"/>
      <c r="N174" s="92"/>
      <c r="O174" s="93"/>
      <c r="P174" s="93"/>
      <c r="Q174" s="93"/>
      <c r="R174" s="93"/>
      <c r="S174" s="93"/>
      <c r="T174" s="93"/>
      <c r="U174" s="93"/>
      <c r="V174" s="92"/>
    </row>
    <row r="175" spans="8:22" ht="12.75">
      <c r="H175" s="80"/>
      <c r="I175" s="80"/>
      <c r="J175" s="80"/>
      <c r="K175" s="80"/>
      <c r="L175" s="80"/>
      <c r="M175" s="80"/>
      <c r="N175" s="80"/>
      <c r="O175" s="81"/>
      <c r="P175" s="81"/>
      <c r="Q175" s="81"/>
      <c r="R175" s="81"/>
      <c r="S175" s="81"/>
      <c r="T175" s="81"/>
      <c r="U175" s="81"/>
      <c r="V175" s="80"/>
    </row>
    <row r="176" spans="2:22" ht="12.75">
      <c r="B176" s="122">
        <f>IF(J179=0,+K179/2+D178/2,+IF(K179=0,+J179/2+D178/2,+(J179+K179)/2))</f>
        <v>435</v>
      </c>
      <c r="C176" s="122"/>
      <c r="D176" s="122"/>
      <c r="E176" s="122"/>
      <c r="F176" s="122"/>
      <c r="H176" s="80"/>
      <c r="I176" s="80"/>
      <c r="J176" s="80"/>
      <c r="K176" s="80"/>
      <c r="L176" s="80"/>
      <c r="M176" s="80"/>
      <c r="N176" s="80"/>
      <c r="O176" s="81"/>
      <c r="P176" s="81"/>
      <c r="Q176" s="81"/>
      <c r="R176" s="81"/>
      <c r="S176" s="81"/>
      <c r="T176" s="81"/>
      <c r="U176" s="81"/>
      <c r="V176" s="80"/>
    </row>
    <row r="177" spans="3:22" ht="12.75">
      <c r="C177" s="122">
        <f>SUM(C178:E178)</f>
        <v>62</v>
      </c>
      <c r="D177" s="122"/>
      <c r="E177" s="122"/>
      <c r="H177" s="79" t="s">
        <v>32</v>
      </c>
      <c r="I177" s="80"/>
      <c r="J177" s="80"/>
      <c r="K177" s="80"/>
      <c r="L177" s="80"/>
      <c r="M177" s="80"/>
      <c r="N177" s="80"/>
      <c r="O177" s="81"/>
      <c r="P177" s="81"/>
      <c r="Q177" s="81"/>
      <c r="R177" s="81"/>
      <c r="S177" s="81"/>
      <c r="T177" s="81"/>
      <c r="U177" s="81"/>
      <c r="V177" s="80"/>
    </row>
    <row r="178" spans="3:22" ht="13.5" thickBot="1">
      <c r="C178" s="8">
        <f>IF(J179=0,0,+IF(C182&gt;4*G180,4*G180,+C182))</f>
        <v>31</v>
      </c>
      <c r="D178" s="8">
        <f>+J182</f>
        <v>0</v>
      </c>
      <c r="E178" s="8">
        <f>IF(K179=0,0,+IF(C182&gt;4*G180,4*G180,+C182))</f>
        <v>31</v>
      </c>
      <c r="H178" s="80"/>
      <c r="I178" s="80"/>
      <c r="J178" s="82" t="s">
        <v>14</v>
      </c>
      <c r="K178" s="82" t="s">
        <v>15</v>
      </c>
      <c r="L178" s="80"/>
      <c r="M178" s="80"/>
      <c r="N178" s="80"/>
      <c r="O178" s="81"/>
      <c r="P178" s="81"/>
      <c r="Q178" s="81"/>
      <c r="R178" s="81"/>
      <c r="S178" s="81"/>
      <c r="T178" s="81"/>
      <c r="U178" s="81"/>
      <c r="V178" s="80"/>
    </row>
    <row r="179" spans="1:22" ht="13.5" thickBot="1">
      <c r="A179" s="1">
        <f>+J181</f>
        <v>0</v>
      </c>
      <c r="D179" s="18"/>
      <c r="H179" s="80" t="s">
        <v>13</v>
      </c>
      <c r="I179" s="80"/>
      <c r="J179" s="79">
        <f>+$E$13*100</f>
        <v>400</v>
      </c>
      <c r="K179" s="79">
        <f>+$E$8*100</f>
        <v>470</v>
      </c>
      <c r="L179" s="80" t="s">
        <v>3</v>
      </c>
      <c r="M179" s="80"/>
      <c r="N179" s="80"/>
      <c r="O179" s="83" t="s">
        <v>4</v>
      </c>
      <c r="P179" s="83" t="s">
        <v>5</v>
      </c>
      <c r="Q179" s="83" t="s">
        <v>6</v>
      </c>
      <c r="R179" s="83" t="s">
        <v>7</v>
      </c>
      <c r="S179" s="83" t="s">
        <v>8</v>
      </c>
      <c r="T179" s="83" t="s">
        <v>19</v>
      </c>
      <c r="U179" s="83" t="s">
        <v>20</v>
      </c>
      <c r="V179" s="84"/>
    </row>
    <row r="180" spans="2:22" ht="13.5" thickBot="1">
      <c r="B180" s="13"/>
      <c r="C180" s="9"/>
      <c r="D180" s="17"/>
      <c r="E180" s="10"/>
      <c r="F180" s="14"/>
      <c r="G180" s="7">
        <f>+J183</f>
        <v>14</v>
      </c>
      <c r="H180" s="80" t="s">
        <v>0</v>
      </c>
      <c r="I180" s="80"/>
      <c r="J180" s="79">
        <f>+$F$25</f>
        <v>45</v>
      </c>
      <c r="K180" s="80" t="s">
        <v>3</v>
      </c>
      <c r="L180" s="80"/>
      <c r="M180" s="80"/>
      <c r="N180" s="84" t="s">
        <v>24</v>
      </c>
      <c r="O180" s="84">
        <f>+D185</f>
        <v>0</v>
      </c>
      <c r="P180" s="84">
        <f>+C182</f>
        <v>31</v>
      </c>
      <c r="Q180" s="85">
        <f>+O180*P180</f>
        <v>0</v>
      </c>
      <c r="R180" s="86">
        <f>+G180+C182/2</f>
        <v>29.5</v>
      </c>
      <c r="S180" s="85">
        <f>+Q180*R180</f>
        <v>0</v>
      </c>
      <c r="T180" s="85">
        <f>+O180*(P180^3)/12</f>
        <v>0</v>
      </c>
      <c r="U180" s="85">
        <f>+Q180*(S184-R180)^2</f>
        <v>0</v>
      </c>
      <c r="V180" s="84"/>
    </row>
    <row r="181" spans="4:22" ht="12.75">
      <c r="D181" s="11"/>
      <c r="H181" s="80" t="s">
        <v>18</v>
      </c>
      <c r="I181" s="80"/>
      <c r="J181" s="79">
        <f>+$H$25</f>
        <v>0</v>
      </c>
      <c r="K181" s="80" t="s">
        <v>3</v>
      </c>
      <c r="L181" s="80"/>
      <c r="M181" s="80"/>
      <c r="N181" s="84" t="s">
        <v>23</v>
      </c>
      <c r="O181" s="84">
        <f>+D185</f>
        <v>0</v>
      </c>
      <c r="P181" s="84">
        <f>+A179</f>
        <v>0</v>
      </c>
      <c r="Q181" s="85">
        <f>+O181*P181</f>
        <v>0</v>
      </c>
      <c r="R181" s="86">
        <f>-A179/2</f>
        <v>0</v>
      </c>
      <c r="S181" s="85">
        <f>+Q181*R181</f>
        <v>0</v>
      </c>
      <c r="T181" s="85">
        <f>+O181*(P181^3)/12</f>
        <v>0</v>
      </c>
      <c r="U181" s="85">
        <f>+Q181*(S184-R181)^2</f>
        <v>0</v>
      </c>
      <c r="V181" s="84"/>
    </row>
    <row r="182" spans="1:22" ht="12.75">
      <c r="A182" s="1">
        <f>+J180-J181</f>
        <v>45</v>
      </c>
      <c r="C182" s="1">
        <f>+A182-G180</f>
        <v>31</v>
      </c>
      <c r="D182" s="11"/>
      <c r="H182" s="80" t="s">
        <v>1</v>
      </c>
      <c r="I182" s="80"/>
      <c r="J182" s="79">
        <f>+$E$25</f>
        <v>0</v>
      </c>
      <c r="K182" s="80" t="s">
        <v>3</v>
      </c>
      <c r="L182" s="80"/>
      <c r="M182" s="80"/>
      <c r="N182" s="84" t="s">
        <v>22</v>
      </c>
      <c r="O182" s="84">
        <f>+C177</f>
        <v>62</v>
      </c>
      <c r="P182" s="84">
        <f>+G180</f>
        <v>14</v>
      </c>
      <c r="Q182" s="85">
        <f>+O182*P182</f>
        <v>868</v>
      </c>
      <c r="R182" s="86">
        <f>+G180/2</f>
        <v>7</v>
      </c>
      <c r="S182" s="85">
        <f>+Q182*R182</f>
        <v>6076</v>
      </c>
      <c r="T182" s="85">
        <f>+O182*(P182^3)/12</f>
        <v>14177.333333333334</v>
      </c>
      <c r="U182" s="85">
        <f>+Q182*(S184-R182)^2</f>
        <v>0</v>
      </c>
      <c r="V182" s="84"/>
    </row>
    <row r="183" spans="4:22" ht="12.75">
      <c r="D183" s="11"/>
      <c r="H183" s="80" t="s">
        <v>2</v>
      </c>
      <c r="I183" s="80"/>
      <c r="J183" s="79">
        <f>+$Y97</f>
        <v>14</v>
      </c>
      <c r="K183" s="80" t="s">
        <v>3</v>
      </c>
      <c r="L183" s="80"/>
      <c r="M183" s="80"/>
      <c r="N183" s="84"/>
      <c r="O183" s="84"/>
      <c r="P183" s="84"/>
      <c r="Q183" s="87">
        <f>SUM(Q180:Q182)</f>
        <v>868</v>
      </c>
      <c r="R183" s="84"/>
      <c r="S183" s="87">
        <f>SUM(S180:S182)</f>
        <v>6076</v>
      </c>
      <c r="T183" s="87">
        <f>SUM(T180:T182)</f>
        <v>14177.333333333334</v>
      </c>
      <c r="U183" s="87">
        <f>SUM(U180:U182)</f>
        <v>0</v>
      </c>
      <c r="V183" s="84"/>
    </row>
    <row r="184" spans="4:22" ht="13.5" thickBot="1">
      <c r="D184" s="12"/>
      <c r="H184" s="80" t="s">
        <v>10</v>
      </c>
      <c r="I184" s="80"/>
      <c r="J184" s="88">
        <f>+T183+U183</f>
        <v>14177.333333333334</v>
      </c>
      <c r="K184" s="80" t="s">
        <v>11</v>
      </c>
      <c r="L184" s="80"/>
      <c r="M184" s="80"/>
      <c r="N184" s="84"/>
      <c r="O184" s="84"/>
      <c r="P184" s="84"/>
      <c r="Q184" s="84"/>
      <c r="R184" s="83" t="s">
        <v>9</v>
      </c>
      <c r="S184" s="86">
        <f>+S183/Q183</f>
        <v>7</v>
      </c>
      <c r="T184" s="84"/>
      <c r="U184" s="84"/>
      <c r="V184" s="84"/>
    </row>
    <row r="185" spans="4:22" ht="13.5" thickBot="1">
      <c r="D185" s="1">
        <f>+J182</f>
        <v>0</v>
      </c>
      <c r="H185" s="80" t="s">
        <v>12</v>
      </c>
      <c r="I185" s="80"/>
      <c r="J185" s="88">
        <f>+T185</f>
        <v>99470</v>
      </c>
      <c r="K185" s="80" t="s">
        <v>11</v>
      </c>
      <c r="L185" s="80"/>
      <c r="M185" s="80"/>
      <c r="N185" s="84" t="s">
        <v>21</v>
      </c>
      <c r="O185" s="84">
        <f>+B176</f>
        <v>435</v>
      </c>
      <c r="P185" s="84">
        <f>+J183</f>
        <v>14</v>
      </c>
      <c r="Q185" s="85">
        <f>+O185*P185</f>
        <v>6090</v>
      </c>
      <c r="R185" s="86"/>
      <c r="S185" s="85"/>
      <c r="T185" s="85">
        <f>+O185*(P185^3)/12</f>
        <v>99470</v>
      </c>
      <c r="U185" s="84"/>
      <c r="V185" s="84"/>
    </row>
    <row r="186" spans="8:22" ht="17.25" thickBot="1" thickTop="1">
      <c r="H186" s="80"/>
      <c r="I186" s="89" t="s">
        <v>94</v>
      </c>
      <c r="J186" s="90">
        <f>IF(J180=0,0,+J184/J185)</f>
        <v>0.1425287356321839</v>
      </c>
      <c r="K186" s="80"/>
      <c r="L186" s="80"/>
      <c r="M186" s="80"/>
      <c r="N186" s="80"/>
      <c r="O186" s="81"/>
      <c r="P186" s="81"/>
      <c r="Q186" s="81"/>
      <c r="R186" s="81"/>
      <c r="S186" s="81"/>
      <c r="T186" s="81"/>
      <c r="U186" s="81"/>
      <c r="V186" s="80"/>
    </row>
    <row r="187" spans="1:22" ht="15" thickTop="1">
      <c r="A187" s="25"/>
      <c r="B187" s="25"/>
      <c r="C187" s="25"/>
      <c r="D187" s="25"/>
      <c r="E187" s="25"/>
      <c r="F187" s="25"/>
      <c r="G187" s="25"/>
      <c r="H187" s="91" t="s">
        <v>92</v>
      </c>
      <c r="I187" s="92"/>
      <c r="J187" s="92"/>
      <c r="K187" s="92"/>
      <c r="L187" s="92"/>
      <c r="M187" s="92"/>
      <c r="N187" s="92"/>
      <c r="O187" s="93"/>
      <c r="P187" s="93"/>
      <c r="Q187" s="93"/>
      <c r="R187" s="93"/>
      <c r="S187" s="93"/>
      <c r="T187" s="93"/>
      <c r="U187" s="93"/>
      <c r="V187" s="92"/>
    </row>
    <row r="188" spans="8:22" ht="12.75">
      <c r="H188" s="80"/>
      <c r="I188" s="80"/>
      <c r="J188" s="80"/>
      <c r="K188" s="80"/>
      <c r="L188" s="80"/>
      <c r="M188" s="80"/>
      <c r="N188" s="80"/>
      <c r="O188" s="81"/>
      <c r="P188" s="81"/>
      <c r="Q188" s="81"/>
      <c r="R188" s="81"/>
      <c r="S188" s="81"/>
      <c r="T188" s="81"/>
      <c r="U188" s="81"/>
      <c r="V188" s="80"/>
    </row>
    <row r="189" spans="2:22" ht="12.75">
      <c r="B189" s="122">
        <f>IF(J192=0,+K192/2+D191/2,+IF(K192=0,+J192/2+D191/2,+(J192+K192)/2))</f>
        <v>485</v>
      </c>
      <c r="C189" s="122"/>
      <c r="D189" s="122"/>
      <c r="E189" s="122"/>
      <c r="F189" s="122"/>
      <c r="H189" s="80"/>
      <c r="I189" s="80"/>
      <c r="J189" s="80"/>
      <c r="K189" s="80"/>
      <c r="L189" s="80"/>
      <c r="M189" s="80"/>
      <c r="N189" s="80"/>
      <c r="O189" s="81"/>
      <c r="P189" s="81"/>
      <c r="Q189" s="81"/>
      <c r="R189" s="81"/>
      <c r="S189" s="81"/>
      <c r="T189" s="81"/>
      <c r="U189" s="81"/>
      <c r="V189" s="80"/>
    </row>
    <row r="190" spans="3:22" ht="12.75">
      <c r="C190" s="122">
        <f>SUM(C191:E191)</f>
        <v>62</v>
      </c>
      <c r="D190" s="122"/>
      <c r="E190" s="122"/>
      <c r="H190" s="79" t="s">
        <v>33</v>
      </c>
      <c r="I190" s="80"/>
      <c r="J190" s="80"/>
      <c r="K190" s="80"/>
      <c r="L190" s="80"/>
      <c r="M190" s="80"/>
      <c r="N190" s="80"/>
      <c r="O190" s="81"/>
      <c r="P190" s="81"/>
      <c r="Q190" s="81"/>
      <c r="R190" s="81"/>
      <c r="S190" s="81"/>
      <c r="T190" s="81"/>
      <c r="U190" s="81"/>
      <c r="V190" s="80"/>
    </row>
    <row r="191" spans="3:22" ht="13.5" thickBot="1">
      <c r="C191" s="8">
        <f>IF(J192=0,0,+IF(C195&gt;4*G193,4*G193,+C195))</f>
        <v>31</v>
      </c>
      <c r="D191" s="8">
        <f>+J195</f>
        <v>0</v>
      </c>
      <c r="E191" s="8">
        <f>IF(K192=0,0,+IF(C195&gt;4*G193,4*G193,+C195))</f>
        <v>31</v>
      </c>
      <c r="H191" s="80"/>
      <c r="I191" s="80"/>
      <c r="J191" s="82" t="s">
        <v>14</v>
      </c>
      <c r="K191" s="82" t="s">
        <v>15</v>
      </c>
      <c r="L191" s="80"/>
      <c r="M191" s="80"/>
      <c r="N191" s="80"/>
      <c r="O191" s="81"/>
      <c r="P191" s="81"/>
      <c r="Q191" s="81"/>
      <c r="R191" s="81"/>
      <c r="S191" s="81"/>
      <c r="T191" s="81"/>
      <c r="U191" s="81"/>
      <c r="V191" s="80"/>
    </row>
    <row r="192" spans="1:22" ht="13.5" thickBot="1">
      <c r="A192" s="1">
        <f>+J194</f>
        <v>0</v>
      </c>
      <c r="D192" s="18"/>
      <c r="H192" s="80" t="s">
        <v>13</v>
      </c>
      <c r="I192" s="80"/>
      <c r="J192" s="79">
        <f>+$E$8*100</f>
        <v>470</v>
      </c>
      <c r="K192" s="79">
        <f>+$E$14*100</f>
        <v>500</v>
      </c>
      <c r="L192" s="80" t="s">
        <v>3</v>
      </c>
      <c r="M192" s="80"/>
      <c r="N192" s="80"/>
      <c r="O192" s="83" t="s">
        <v>4</v>
      </c>
      <c r="P192" s="83" t="s">
        <v>5</v>
      </c>
      <c r="Q192" s="83" t="s">
        <v>6</v>
      </c>
      <c r="R192" s="83" t="s">
        <v>7</v>
      </c>
      <c r="S192" s="83" t="s">
        <v>8</v>
      </c>
      <c r="T192" s="83" t="s">
        <v>19</v>
      </c>
      <c r="U192" s="83" t="s">
        <v>20</v>
      </c>
      <c r="V192" s="84"/>
    </row>
    <row r="193" spans="2:22" ht="13.5" thickBot="1">
      <c r="B193" s="13"/>
      <c r="C193" s="9"/>
      <c r="D193" s="17"/>
      <c r="E193" s="10"/>
      <c r="F193" s="14"/>
      <c r="G193" s="7">
        <f>+J196</f>
        <v>14</v>
      </c>
      <c r="H193" s="80" t="s">
        <v>0</v>
      </c>
      <c r="I193" s="80"/>
      <c r="J193" s="79">
        <f>+$F$26</f>
        <v>45</v>
      </c>
      <c r="K193" s="80" t="s">
        <v>3</v>
      </c>
      <c r="L193" s="80"/>
      <c r="M193" s="80"/>
      <c r="N193" s="84" t="s">
        <v>24</v>
      </c>
      <c r="O193" s="84">
        <f>+D198</f>
        <v>0</v>
      </c>
      <c r="P193" s="84">
        <f>+C195</f>
        <v>31</v>
      </c>
      <c r="Q193" s="85">
        <f>+O193*P193</f>
        <v>0</v>
      </c>
      <c r="R193" s="86">
        <f>+G193+C195/2</f>
        <v>29.5</v>
      </c>
      <c r="S193" s="85">
        <f>+Q193*R193</f>
        <v>0</v>
      </c>
      <c r="T193" s="85">
        <f>+O193*(P193^3)/12</f>
        <v>0</v>
      </c>
      <c r="U193" s="85">
        <f>+Q193*(S197-R193)^2</f>
        <v>0</v>
      </c>
      <c r="V193" s="84"/>
    </row>
    <row r="194" spans="4:22" ht="12.75">
      <c r="D194" s="11"/>
      <c r="H194" s="80" t="s">
        <v>18</v>
      </c>
      <c r="I194" s="80"/>
      <c r="J194" s="79">
        <f>+$H$26</f>
        <v>0</v>
      </c>
      <c r="K194" s="80" t="s">
        <v>3</v>
      </c>
      <c r="L194" s="80"/>
      <c r="M194" s="80"/>
      <c r="N194" s="84" t="s">
        <v>23</v>
      </c>
      <c r="O194" s="84">
        <f>+D198</f>
        <v>0</v>
      </c>
      <c r="P194" s="84">
        <f>+A192</f>
        <v>0</v>
      </c>
      <c r="Q194" s="85">
        <f>+O194*P194</f>
        <v>0</v>
      </c>
      <c r="R194" s="86">
        <f>-A192/2</f>
        <v>0</v>
      </c>
      <c r="S194" s="85">
        <f>+Q194*R194</f>
        <v>0</v>
      </c>
      <c r="T194" s="85">
        <f>+O194*(P194^3)/12</f>
        <v>0</v>
      </c>
      <c r="U194" s="85">
        <f>+Q194*(S197-R194)^2</f>
        <v>0</v>
      </c>
      <c r="V194" s="84"/>
    </row>
    <row r="195" spans="1:22" ht="12.75">
      <c r="A195" s="1">
        <f>+J193-J194</f>
        <v>45</v>
      </c>
      <c r="C195" s="1">
        <f>+A195-G193</f>
        <v>31</v>
      </c>
      <c r="D195" s="11"/>
      <c r="H195" s="80" t="s">
        <v>1</v>
      </c>
      <c r="I195" s="80"/>
      <c r="J195" s="79">
        <f>+$E$26</f>
        <v>0</v>
      </c>
      <c r="K195" s="80" t="s">
        <v>3</v>
      </c>
      <c r="L195" s="80"/>
      <c r="M195" s="80"/>
      <c r="N195" s="84" t="s">
        <v>22</v>
      </c>
      <c r="O195" s="84">
        <f>+C190</f>
        <v>62</v>
      </c>
      <c r="P195" s="84">
        <f>+G193</f>
        <v>14</v>
      </c>
      <c r="Q195" s="85">
        <f>+O195*P195</f>
        <v>868</v>
      </c>
      <c r="R195" s="86">
        <f>+G193/2</f>
        <v>7</v>
      </c>
      <c r="S195" s="85">
        <f>+Q195*R195</f>
        <v>6076</v>
      </c>
      <c r="T195" s="85">
        <f>+O195*(P195^3)/12</f>
        <v>14177.333333333334</v>
      </c>
      <c r="U195" s="85">
        <f>+Q195*(S197-R195)^2</f>
        <v>0</v>
      </c>
      <c r="V195" s="84"/>
    </row>
    <row r="196" spans="4:22" ht="12.75">
      <c r="D196" s="11"/>
      <c r="H196" s="80" t="s">
        <v>2</v>
      </c>
      <c r="I196" s="80"/>
      <c r="J196" s="79">
        <f>+$Y97</f>
        <v>14</v>
      </c>
      <c r="K196" s="80" t="s">
        <v>3</v>
      </c>
      <c r="L196" s="80"/>
      <c r="M196" s="80"/>
      <c r="N196" s="84"/>
      <c r="O196" s="84"/>
      <c r="P196" s="84"/>
      <c r="Q196" s="87">
        <f>SUM(Q193:Q195)</f>
        <v>868</v>
      </c>
      <c r="R196" s="84"/>
      <c r="S196" s="87">
        <f>SUM(S193:S195)</f>
        <v>6076</v>
      </c>
      <c r="T196" s="87">
        <f>SUM(T193:T195)</f>
        <v>14177.333333333334</v>
      </c>
      <c r="U196" s="87">
        <f>SUM(U193:U195)</f>
        <v>0</v>
      </c>
      <c r="V196" s="84"/>
    </row>
    <row r="197" spans="4:22" ht="13.5" thickBot="1">
      <c r="D197" s="12"/>
      <c r="H197" s="80" t="s">
        <v>10</v>
      </c>
      <c r="I197" s="80"/>
      <c r="J197" s="88">
        <f>+T196+U196</f>
        <v>14177.333333333334</v>
      </c>
      <c r="K197" s="80" t="s">
        <v>11</v>
      </c>
      <c r="L197" s="80"/>
      <c r="M197" s="80"/>
      <c r="N197" s="84"/>
      <c r="O197" s="84"/>
      <c r="P197" s="84"/>
      <c r="Q197" s="84"/>
      <c r="R197" s="83" t="s">
        <v>9</v>
      </c>
      <c r="S197" s="86">
        <f>+S196/Q196</f>
        <v>7</v>
      </c>
      <c r="T197" s="84"/>
      <c r="U197" s="84"/>
      <c r="V197" s="84"/>
    </row>
    <row r="198" spans="4:22" ht="13.5" thickBot="1">
      <c r="D198" s="1">
        <f>+J195</f>
        <v>0</v>
      </c>
      <c r="H198" s="80" t="s">
        <v>12</v>
      </c>
      <c r="I198" s="80"/>
      <c r="J198" s="88">
        <f>+T198</f>
        <v>110903.33333333333</v>
      </c>
      <c r="K198" s="80" t="s">
        <v>11</v>
      </c>
      <c r="L198" s="80"/>
      <c r="M198" s="80"/>
      <c r="N198" s="84" t="s">
        <v>21</v>
      </c>
      <c r="O198" s="84">
        <f>+B189</f>
        <v>485</v>
      </c>
      <c r="P198" s="84">
        <f>+J196</f>
        <v>14</v>
      </c>
      <c r="Q198" s="85">
        <f>+O198*P198</f>
        <v>6790</v>
      </c>
      <c r="R198" s="86"/>
      <c r="S198" s="85"/>
      <c r="T198" s="85">
        <f>+O198*(P198^3)/12</f>
        <v>110903.33333333333</v>
      </c>
      <c r="U198" s="84"/>
      <c r="V198" s="84"/>
    </row>
    <row r="199" spans="8:22" ht="17.25" thickBot="1" thickTop="1">
      <c r="H199" s="80"/>
      <c r="I199" s="89" t="s">
        <v>95</v>
      </c>
      <c r="J199" s="90">
        <f>IF(J193=0,0,+J197/J198)</f>
        <v>0.12783505154639177</v>
      </c>
      <c r="K199" s="80"/>
      <c r="L199" s="80"/>
      <c r="M199" s="80"/>
      <c r="N199" s="80"/>
      <c r="O199" s="81"/>
      <c r="P199" s="81"/>
      <c r="Q199" s="81"/>
      <c r="R199" s="81"/>
      <c r="S199" s="81"/>
      <c r="T199" s="81"/>
      <c r="U199" s="81"/>
      <c r="V199" s="80"/>
    </row>
    <row r="200" spans="1:22" ht="15" thickTop="1">
      <c r="A200" s="25"/>
      <c r="B200" s="25"/>
      <c r="C200" s="25"/>
      <c r="D200" s="25"/>
      <c r="E200" s="25"/>
      <c r="F200" s="25"/>
      <c r="G200" s="25"/>
      <c r="H200" s="91" t="s">
        <v>92</v>
      </c>
      <c r="I200" s="92"/>
      <c r="J200" s="92"/>
      <c r="K200" s="92"/>
      <c r="L200" s="92"/>
      <c r="M200" s="92"/>
      <c r="N200" s="92"/>
      <c r="O200" s="93"/>
      <c r="P200" s="93"/>
      <c r="Q200" s="93"/>
      <c r="R200" s="93"/>
      <c r="S200" s="93"/>
      <c r="T200" s="93"/>
      <c r="U200" s="93"/>
      <c r="V200" s="92"/>
    </row>
    <row r="202" spans="1:24" ht="13.5" thickBot="1">
      <c r="A202" s="94" t="s">
        <v>98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0"/>
      <c r="P202" s="30"/>
      <c r="Q202" s="30"/>
      <c r="R202" s="30"/>
      <c r="S202" s="30"/>
      <c r="T202" s="30"/>
      <c r="U202" s="30"/>
      <c r="V202" s="29"/>
      <c r="X202" t="s">
        <v>98</v>
      </c>
    </row>
    <row r="203" spans="2:28" ht="15.75" thickBot="1">
      <c r="B203" s="122">
        <f>IF(J206=0,+K206/2+D205/2,+IF(K206=0,+J206/2+D205/2,+(J206+K206)/2))</f>
        <v>390</v>
      </c>
      <c r="C203" s="122"/>
      <c r="D203" s="122"/>
      <c r="E203" s="122"/>
      <c r="F203" s="122"/>
      <c r="W203" s="50"/>
      <c r="X203" s="51" t="s">
        <v>82</v>
      </c>
      <c r="Y203" s="52">
        <f>ROUND(IF(Z207&lt;0.2,+W216,+IF(Z207&lt;2,+X216,+Y216))*AB203,0)</f>
        <v>14</v>
      </c>
      <c r="Z203" s="53" t="s">
        <v>3</v>
      </c>
      <c r="AB203">
        <f>IF(Z207&lt;0.2,1,+AB204)</f>
        <v>1</v>
      </c>
    </row>
    <row r="204" spans="3:28" ht="12.75">
      <c r="C204" s="122">
        <f>SUM(C205:E205)</f>
        <v>72</v>
      </c>
      <c r="D204" s="122"/>
      <c r="E204" s="122"/>
      <c r="H204" s="95" t="s">
        <v>30</v>
      </c>
      <c r="I204" s="96"/>
      <c r="J204" s="96"/>
      <c r="K204" s="96"/>
      <c r="L204" s="96"/>
      <c r="M204" s="96"/>
      <c r="N204" s="96"/>
      <c r="O204" s="97"/>
      <c r="P204" s="97"/>
      <c r="Q204" s="97"/>
      <c r="R204" s="97"/>
      <c r="S204" s="97"/>
      <c r="T204" s="97"/>
      <c r="U204" s="97"/>
      <c r="V204" s="96"/>
      <c r="W204" s="2" t="s">
        <v>104</v>
      </c>
      <c r="X204">
        <f>+Y150</f>
        <v>14</v>
      </c>
      <c r="Y204" t="s">
        <v>3</v>
      </c>
      <c r="AB204" s="31">
        <f>MAX(AB205:AB208)</f>
        <v>1</v>
      </c>
    </row>
    <row r="205" spans="3:28" ht="16.5" thickBot="1">
      <c r="C205" s="8">
        <f>IF(J206=0,0,+IF(C209&gt;4*G207,4*G207,+C209))</f>
        <v>36</v>
      </c>
      <c r="D205" s="8">
        <f>+J209</f>
        <v>0</v>
      </c>
      <c r="E205" s="8">
        <f>IF(K206=0,0,+IF(C209&gt;4*G207,4*G207,+C209))</f>
        <v>36</v>
      </c>
      <c r="H205" s="96"/>
      <c r="I205" s="96"/>
      <c r="J205" s="98" t="s">
        <v>14</v>
      </c>
      <c r="K205" s="98" t="s">
        <v>15</v>
      </c>
      <c r="L205" s="96"/>
      <c r="M205" s="96"/>
      <c r="N205" s="96"/>
      <c r="O205" s="97"/>
      <c r="P205" s="97"/>
      <c r="Q205" s="97"/>
      <c r="R205" s="97"/>
      <c r="S205" s="97"/>
      <c r="T205" s="97"/>
      <c r="U205" s="97"/>
      <c r="V205" s="96"/>
      <c r="W205" s="37" t="s">
        <v>63</v>
      </c>
      <c r="X205" s="36">
        <f>+J213</f>
        <v>0.18461538461538463</v>
      </c>
      <c r="AA205">
        <f>+$G$11</f>
        <v>1</v>
      </c>
      <c r="AB205">
        <f>IF(AA205=1,1,+IF(X205&gt;=0.8,1,1.1))</f>
        <v>1</v>
      </c>
    </row>
    <row r="206" spans="1:28" ht="16.5" thickBot="1">
      <c r="A206" s="1">
        <f>+J208</f>
        <v>0</v>
      </c>
      <c r="D206" s="18"/>
      <c r="H206" s="96" t="s">
        <v>13</v>
      </c>
      <c r="I206" s="96"/>
      <c r="J206" s="95">
        <f>+$E$11*100</f>
        <v>330</v>
      </c>
      <c r="K206" s="95">
        <f>+$E$7*100</f>
        <v>450</v>
      </c>
      <c r="L206" s="96" t="s">
        <v>3</v>
      </c>
      <c r="M206" s="96"/>
      <c r="N206" s="96"/>
      <c r="O206" s="99" t="s">
        <v>4</v>
      </c>
      <c r="P206" s="99" t="s">
        <v>5</v>
      </c>
      <c r="Q206" s="99" t="s">
        <v>6</v>
      </c>
      <c r="R206" s="99" t="s">
        <v>7</v>
      </c>
      <c r="S206" s="99" t="s">
        <v>8</v>
      </c>
      <c r="T206" s="99" t="s">
        <v>19</v>
      </c>
      <c r="U206" s="99" t="s">
        <v>20</v>
      </c>
      <c r="V206" s="100"/>
      <c r="W206" s="37" t="s">
        <v>64</v>
      </c>
      <c r="X206" s="36">
        <f>+J226</f>
        <v>0.18461538461538463</v>
      </c>
      <c r="AA206">
        <f>+$G$12</f>
        <v>1</v>
      </c>
      <c r="AB206">
        <f>IF(AA206=1,1,+IF(X206&gt;=0.8,1,1.1))</f>
        <v>1</v>
      </c>
    </row>
    <row r="207" spans="2:28" ht="17.25" thickBot="1" thickTop="1">
      <c r="B207" s="13"/>
      <c r="C207" s="9"/>
      <c r="D207" s="17"/>
      <c r="E207" s="10"/>
      <c r="F207" s="14"/>
      <c r="G207" s="7">
        <f>+J210</f>
        <v>14</v>
      </c>
      <c r="H207" s="96" t="s">
        <v>0</v>
      </c>
      <c r="I207" s="96"/>
      <c r="J207" s="95">
        <f>+$F$23</f>
        <v>50</v>
      </c>
      <c r="K207" s="96" t="s">
        <v>3</v>
      </c>
      <c r="L207" s="96"/>
      <c r="M207" s="96"/>
      <c r="N207" s="100" t="s">
        <v>24</v>
      </c>
      <c r="O207" s="100">
        <f>+D212</f>
        <v>0</v>
      </c>
      <c r="P207" s="100">
        <f>+C209</f>
        <v>36</v>
      </c>
      <c r="Q207" s="101">
        <f>+O207*P207</f>
        <v>0</v>
      </c>
      <c r="R207" s="102">
        <f>+G207+C209/2</f>
        <v>32</v>
      </c>
      <c r="S207" s="101">
        <f>+Q207*R207</f>
        <v>0</v>
      </c>
      <c r="T207" s="101">
        <f>+O207*(P207^3)/12</f>
        <v>0</v>
      </c>
      <c r="U207" s="101">
        <f>+Q207*(S211-R207)^2</f>
        <v>0</v>
      </c>
      <c r="V207" s="100"/>
      <c r="W207" s="37" t="s">
        <v>65</v>
      </c>
      <c r="X207" s="36">
        <f>+J239</f>
        <v>0.1425287356321839</v>
      </c>
      <c r="Y207" s="5" t="s">
        <v>51</v>
      </c>
      <c r="Z207" s="6">
        <f>SUM(X205:X208)/4</f>
        <v>0.15989863910233623</v>
      </c>
      <c r="AA207">
        <f>+$G$13</f>
        <v>1</v>
      </c>
      <c r="AB207">
        <f>IF(AA207=1,1,+IF(X207&gt;=0.8,1,1.1))</f>
        <v>1</v>
      </c>
    </row>
    <row r="208" spans="4:28" ht="15.75">
      <c r="D208" s="11"/>
      <c r="H208" s="96" t="s">
        <v>18</v>
      </c>
      <c r="I208" s="96"/>
      <c r="J208" s="95">
        <f>+$H$23</f>
        <v>0</v>
      </c>
      <c r="K208" s="96" t="s">
        <v>3</v>
      </c>
      <c r="L208" s="96"/>
      <c r="M208" s="96"/>
      <c r="N208" s="100" t="s">
        <v>23</v>
      </c>
      <c r="O208" s="100">
        <f>+D212</f>
        <v>0</v>
      </c>
      <c r="P208" s="100">
        <f>+A206</f>
        <v>0</v>
      </c>
      <c r="Q208" s="101">
        <f>+O208*P208</f>
        <v>0</v>
      </c>
      <c r="R208" s="102">
        <f>-A206/2</f>
        <v>0</v>
      </c>
      <c r="S208" s="101">
        <f>+Q208*R208</f>
        <v>0</v>
      </c>
      <c r="T208" s="101">
        <f>+O208*(P208^3)/12</f>
        <v>0</v>
      </c>
      <c r="U208" s="101">
        <f>+Q208*(S211-R208)^2</f>
        <v>0</v>
      </c>
      <c r="V208" s="100"/>
      <c r="W208" s="37" t="s">
        <v>66</v>
      </c>
      <c r="X208" s="36">
        <f>+J252</f>
        <v>0.12783505154639177</v>
      </c>
      <c r="AA208">
        <f>+$G$14</f>
        <v>1</v>
      </c>
      <c r="AB208">
        <f>IF(AA208=1,1,+IF(X208&gt;=0.8,1,1.1))</f>
        <v>1</v>
      </c>
    </row>
    <row r="209" spans="1:28" ht="12.75">
      <c r="A209" s="1">
        <f>+J207-J208</f>
        <v>50</v>
      </c>
      <c r="C209" s="1">
        <f>+A209-G207</f>
        <v>36</v>
      </c>
      <c r="D209" s="11"/>
      <c r="H209" s="96" t="s">
        <v>1</v>
      </c>
      <c r="I209" s="96"/>
      <c r="J209" s="95">
        <f>+$E$23</f>
        <v>0</v>
      </c>
      <c r="K209" s="96" t="s">
        <v>3</v>
      </c>
      <c r="L209" s="96"/>
      <c r="M209" s="96"/>
      <c r="N209" s="100" t="s">
        <v>22</v>
      </c>
      <c r="O209" s="100">
        <f>+C204</f>
        <v>72</v>
      </c>
      <c r="P209" s="100">
        <f>+G207</f>
        <v>14</v>
      </c>
      <c r="Q209" s="101">
        <f>+O209*P209</f>
        <v>1008</v>
      </c>
      <c r="R209" s="102">
        <f>+G207/2</f>
        <v>7</v>
      </c>
      <c r="S209" s="101">
        <f>+Q209*R209</f>
        <v>7056</v>
      </c>
      <c r="T209" s="101">
        <f>+O209*(P209^3)/12</f>
        <v>16464</v>
      </c>
      <c r="U209" s="101">
        <f>+Q209*(S211-R209)^2</f>
        <v>0</v>
      </c>
      <c r="V209" s="100"/>
      <c r="X209" s="19"/>
      <c r="Y209" s="19"/>
      <c r="Z209" s="19"/>
      <c r="AA209" s="96"/>
      <c r="AB209" s="96"/>
    </row>
    <row r="210" spans="4:28" ht="12.75">
      <c r="D210" s="11"/>
      <c r="H210" s="96" t="s">
        <v>2</v>
      </c>
      <c r="I210" s="96"/>
      <c r="J210" s="95">
        <f>+$Y150</f>
        <v>14</v>
      </c>
      <c r="K210" s="96" t="s">
        <v>3</v>
      </c>
      <c r="L210" s="96"/>
      <c r="M210" s="96"/>
      <c r="N210" s="100"/>
      <c r="O210" s="100"/>
      <c r="P210" s="100"/>
      <c r="Q210" s="103">
        <f>SUM(Q207:Q209)</f>
        <v>1008</v>
      </c>
      <c r="R210" s="100"/>
      <c r="S210" s="103">
        <f>SUM(S207:S209)</f>
        <v>7056</v>
      </c>
      <c r="T210" s="103">
        <f>SUM(T207:T209)</f>
        <v>16464</v>
      </c>
      <c r="U210" s="103">
        <f>SUM(U207:U209)</f>
        <v>0</v>
      </c>
      <c r="V210" s="100"/>
      <c r="W210" s="47" t="s">
        <v>73</v>
      </c>
      <c r="X210" s="47" t="s">
        <v>74</v>
      </c>
      <c r="Y210" s="47" t="s">
        <v>75</v>
      </c>
      <c r="Z210" s="19"/>
      <c r="AA210" s="96"/>
      <c r="AB210" s="96"/>
    </row>
    <row r="211" spans="4:28" ht="13.5" thickBot="1">
      <c r="D211" s="12"/>
      <c r="H211" s="96" t="s">
        <v>10</v>
      </c>
      <c r="I211" s="96"/>
      <c r="J211" s="104">
        <f>+T210+U210</f>
        <v>16464</v>
      </c>
      <c r="K211" s="96" t="s">
        <v>11</v>
      </c>
      <c r="L211" s="96"/>
      <c r="M211" s="96"/>
      <c r="N211" s="100"/>
      <c r="O211" s="100"/>
      <c r="P211" s="100"/>
      <c r="Q211" s="100"/>
      <c r="R211" s="99" t="s">
        <v>9</v>
      </c>
      <c r="S211" s="102">
        <f>+S210/Q210</f>
        <v>7</v>
      </c>
      <c r="T211" s="100"/>
      <c r="U211" s="100"/>
      <c r="V211" s="100"/>
      <c r="W211" s="42">
        <f>$E$39/$AA$3*100</f>
        <v>14.242424242424242</v>
      </c>
      <c r="X211" s="42">
        <f>(+$E$39*100*(0.8+$H$6/200000))/(36+5*$E$38*(Z207-0.2))</f>
        <v>14.505274406056218</v>
      </c>
      <c r="Y211" s="42">
        <f>(+$E$39*100*(0.8+$H$6/200000))/(36+9*$E$38)</f>
        <v>11.435070702643172</v>
      </c>
      <c r="Z211" s="19"/>
      <c r="AA211" s="96"/>
      <c r="AB211" s="96"/>
    </row>
    <row r="212" spans="4:28" ht="13.5" thickBot="1">
      <c r="D212" s="1">
        <f>+J209</f>
        <v>0</v>
      </c>
      <c r="H212" s="96" t="s">
        <v>12</v>
      </c>
      <c r="I212" s="96"/>
      <c r="J212" s="104">
        <f>+T212</f>
        <v>89180</v>
      </c>
      <c r="K212" s="96" t="s">
        <v>11</v>
      </c>
      <c r="L212" s="96"/>
      <c r="M212" s="96"/>
      <c r="N212" s="100" t="s">
        <v>21</v>
      </c>
      <c r="O212" s="100">
        <f>+B203</f>
        <v>390</v>
      </c>
      <c r="P212" s="100">
        <f>+J210</f>
        <v>14</v>
      </c>
      <c r="Q212" s="101">
        <f>+O212*P212</f>
        <v>5460</v>
      </c>
      <c r="R212" s="102"/>
      <c r="S212" s="101"/>
      <c r="T212" s="101">
        <f>+O212*(P212^3)/12</f>
        <v>89180</v>
      </c>
      <c r="U212" s="100"/>
      <c r="V212" s="100"/>
      <c r="W212" s="41">
        <f>INT(W211)</f>
        <v>14</v>
      </c>
      <c r="X212" s="41">
        <f>INT(X211)</f>
        <v>14</v>
      </c>
      <c r="Y212" s="41">
        <f>INT(Y211)</f>
        <v>11</v>
      </c>
      <c r="Z212" s="19"/>
      <c r="AA212" s="96"/>
      <c r="AB212" s="96"/>
    </row>
    <row r="213" spans="8:28" ht="17.25" thickBot="1" thickTop="1">
      <c r="H213" s="96"/>
      <c r="I213" s="105" t="s">
        <v>99</v>
      </c>
      <c r="J213" s="106">
        <f>IF(J207=0,0,+J211/J212)</f>
        <v>0.18461538461538463</v>
      </c>
      <c r="K213" s="96"/>
      <c r="L213" s="96"/>
      <c r="M213" s="96"/>
      <c r="N213" s="96"/>
      <c r="O213" s="97"/>
      <c r="P213" s="97"/>
      <c r="Q213" s="97"/>
      <c r="R213" s="97"/>
      <c r="S213" s="97"/>
      <c r="T213" s="97"/>
      <c r="U213" s="97"/>
      <c r="V213" s="96"/>
      <c r="W213" s="42">
        <f>+W211-W212</f>
        <v>0.2424242424242422</v>
      </c>
      <c r="X213" s="42">
        <f>+X211-X212</f>
        <v>0.505274406056218</v>
      </c>
      <c r="Y213" s="42">
        <f>+Y211-Y212</f>
        <v>0.4350707026431717</v>
      </c>
      <c r="Z213" s="19"/>
      <c r="AA213" s="96"/>
      <c r="AB213" s="96"/>
    </row>
    <row r="214" spans="1:28" ht="15" thickTop="1">
      <c r="A214" s="25"/>
      <c r="B214" s="25"/>
      <c r="C214" s="25"/>
      <c r="D214" s="25"/>
      <c r="E214" s="25"/>
      <c r="F214" s="25"/>
      <c r="G214" s="25"/>
      <c r="H214" s="107" t="s">
        <v>100</v>
      </c>
      <c r="I214" s="108"/>
      <c r="J214" s="108"/>
      <c r="K214" s="108"/>
      <c r="L214" s="108"/>
      <c r="M214" s="108"/>
      <c r="N214" s="108"/>
      <c r="O214" s="109"/>
      <c r="P214" s="109"/>
      <c r="Q214" s="109"/>
      <c r="R214" s="109"/>
      <c r="S214" s="109"/>
      <c r="T214" s="109"/>
      <c r="U214" s="109"/>
      <c r="V214" s="108"/>
      <c r="W214" s="48">
        <f>IF(W213&gt;0.39,+W212+1,+W212)</f>
        <v>14</v>
      </c>
      <c r="X214" s="48">
        <f>IF(X213&gt;0.39,+X212+1,+X212)</f>
        <v>15</v>
      </c>
      <c r="Y214" s="48">
        <f>IF(Y213&gt;0.39,+Y212+1,+Y212)</f>
        <v>12</v>
      </c>
      <c r="Z214" s="19"/>
      <c r="AA214" s="96"/>
      <c r="AB214" s="96"/>
    </row>
    <row r="215" spans="8:28" ht="12.75">
      <c r="H215" s="96"/>
      <c r="I215" s="96"/>
      <c r="J215" s="96"/>
      <c r="K215" s="96"/>
      <c r="L215" s="96"/>
      <c r="M215" s="96"/>
      <c r="N215" s="96"/>
      <c r="O215" s="97"/>
      <c r="P215" s="97"/>
      <c r="Q215" s="97"/>
      <c r="R215" s="97"/>
      <c r="S215" s="97"/>
      <c r="T215" s="97"/>
      <c r="U215" s="97"/>
      <c r="V215" s="96"/>
      <c r="W215" s="41">
        <f>5*2.54</f>
        <v>12.7</v>
      </c>
      <c r="X215" s="41">
        <f>5*2.54</f>
        <v>12.7</v>
      </c>
      <c r="Y215" s="41">
        <f>3.5*2.54</f>
        <v>8.89</v>
      </c>
      <c r="Z215" s="19"/>
      <c r="AA215" s="96"/>
      <c r="AB215" s="96"/>
    </row>
    <row r="216" spans="2:28" ht="12.75">
      <c r="B216" s="122">
        <f>IF(J219=0,+K219/2+D218/2,+IF(K219=0,+J219/2+D218/2,+(J219+K219)/2))</f>
        <v>390</v>
      </c>
      <c r="C216" s="122"/>
      <c r="D216" s="122"/>
      <c r="E216" s="122"/>
      <c r="F216" s="122"/>
      <c r="H216" s="96"/>
      <c r="I216" s="96"/>
      <c r="J216" s="96"/>
      <c r="K216" s="96"/>
      <c r="L216" s="96"/>
      <c r="M216" s="96"/>
      <c r="N216" s="96"/>
      <c r="O216" s="97"/>
      <c r="P216" s="97"/>
      <c r="Q216" s="97"/>
      <c r="R216" s="97"/>
      <c r="S216" s="97"/>
      <c r="T216" s="97"/>
      <c r="U216" s="97"/>
      <c r="V216" s="96"/>
      <c r="W216" s="48">
        <f>IF(W214&lt;W215,+ROUND(W215,0),+W214)</f>
        <v>14</v>
      </c>
      <c r="X216" s="48">
        <f>IF(X214&lt;X215,+ROUND(X215,0),+X214)</f>
        <v>15</v>
      </c>
      <c r="Y216" s="48">
        <f>IF(Y214&lt;Y215,+ROUND(Y215,0),+Y214)</f>
        <v>12</v>
      </c>
      <c r="Z216" s="19"/>
      <c r="AA216" s="96"/>
      <c r="AB216" s="96"/>
    </row>
    <row r="217" spans="3:28" ht="12.75">
      <c r="C217" s="122">
        <f>SUM(C218:E218)</f>
        <v>72</v>
      </c>
      <c r="D217" s="122"/>
      <c r="E217" s="122"/>
      <c r="H217" s="95" t="s">
        <v>31</v>
      </c>
      <c r="I217" s="96"/>
      <c r="J217" s="96"/>
      <c r="K217" s="96"/>
      <c r="L217" s="96"/>
      <c r="M217" s="96"/>
      <c r="N217" s="96"/>
      <c r="O217" s="97"/>
      <c r="P217" s="97"/>
      <c r="Q217" s="97"/>
      <c r="R217" s="97"/>
      <c r="S217" s="97"/>
      <c r="T217" s="97"/>
      <c r="U217" s="97"/>
      <c r="V217" s="96"/>
      <c r="Z217" s="19"/>
      <c r="AA217" s="96"/>
      <c r="AB217" s="96"/>
    </row>
    <row r="218" spans="3:28" ht="13.5" thickBot="1">
      <c r="C218" s="8">
        <f>IF(J219=0,0,+IF(C222&gt;4*G220,4*G220,+C222))</f>
        <v>36</v>
      </c>
      <c r="D218" s="8">
        <f>+J222</f>
        <v>0</v>
      </c>
      <c r="E218" s="8">
        <f>IF(K219=0,0,+IF(C222&gt;4*G220,4*G220,+C222))</f>
        <v>36</v>
      </c>
      <c r="H218" s="96"/>
      <c r="I218" s="96"/>
      <c r="J218" s="98" t="s">
        <v>14</v>
      </c>
      <c r="K218" s="98" t="s">
        <v>15</v>
      </c>
      <c r="L218" s="96"/>
      <c r="M218" s="96"/>
      <c r="N218" s="96"/>
      <c r="O218" s="97"/>
      <c r="P218" s="97"/>
      <c r="Q218" s="97"/>
      <c r="R218" s="97"/>
      <c r="S218" s="97"/>
      <c r="T218" s="97"/>
      <c r="U218" s="97"/>
      <c r="V218" s="96"/>
      <c r="Z218" s="19"/>
      <c r="AA218" s="96"/>
      <c r="AB218" s="96"/>
    </row>
    <row r="219" spans="1:28" ht="13.5" thickBot="1">
      <c r="A219" s="1">
        <f>+J221</f>
        <v>0</v>
      </c>
      <c r="D219" s="18"/>
      <c r="H219" s="96" t="s">
        <v>13</v>
      </c>
      <c r="I219" s="96"/>
      <c r="J219" s="95">
        <f>+$E$7*100</f>
        <v>450</v>
      </c>
      <c r="K219" s="95">
        <f>+$E$12*100</f>
        <v>330</v>
      </c>
      <c r="L219" s="96" t="s">
        <v>3</v>
      </c>
      <c r="M219" s="96"/>
      <c r="N219" s="96"/>
      <c r="O219" s="99" t="s">
        <v>4</v>
      </c>
      <c r="P219" s="99" t="s">
        <v>5</v>
      </c>
      <c r="Q219" s="99" t="s">
        <v>6</v>
      </c>
      <c r="R219" s="99" t="s">
        <v>7</v>
      </c>
      <c r="S219" s="99" t="s">
        <v>8</v>
      </c>
      <c r="T219" s="99" t="s">
        <v>19</v>
      </c>
      <c r="U219" s="99" t="s">
        <v>20</v>
      </c>
      <c r="V219" s="100"/>
      <c r="Z219" s="19"/>
      <c r="AA219" s="96"/>
      <c r="AB219" s="96"/>
    </row>
    <row r="220" spans="2:28" ht="13.5" thickBot="1">
      <c r="B220" s="13"/>
      <c r="C220" s="9"/>
      <c r="D220" s="17"/>
      <c r="E220" s="10"/>
      <c r="F220" s="14"/>
      <c r="G220" s="7">
        <f>+J223</f>
        <v>14</v>
      </c>
      <c r="H220" s="96" t="s">
        <v>0</v>
      </c>
      <c r="I220" s="96"/>
      <c r="J220" s="95">
        <f>+$F$24</f>
        <v>50</v>
      </c>
      <c r="K220" s="96" t="s">
        <v>3</v>
      </c>
      <c r="L220" s="96"/>
      <c r="M220" s="96"/>
      <c r="N220" s="100" t="s">
        <v>24</v>
      </c>
      <c r="O220" s="100">
        <f>+D225</f>
        <v>0</v>
      </c>
      <c r="P220" s="100">
        <f>+C222</f>
        <v>36</v>
      </c>
      <c r="Q220" s="101">
        <f>+O220*P220</f>
        <v>0</v>
      </c>
      <c r="R220" s="102">
        <f>+G220+C222/2</f>
        <v>32</v>
      </c>
      <c r="S220" s="101">
        <f>+Q220*R220</f>
        <v>0</v>
      </c>
      <c r="T220" s="101">
        <f>+O220*(P220^3)/12</f>
        <v>0</v>
      </c>
      <c r="U220" s="101">
        <f>+Q220*(S224-R220)^2</f>
        <v>0</v>
      </c>
      <c r="V220" s="100"/>
      <c r="Z220" s="19"/>
      <c r="AA220" s="96"/>
      <c r="AB220" s="96"/>
    </row>
    <row r="221" spans="4:28" ht="12.75">
      <c r="D221" s="11"/>
      <c r="H221" s="96" t="s">
        <v>18</v>
      </c>
      <c r="I221" s="96"/>
      <c r="J221" s="95">
        <f>+$H$24</f>
        <v>0</v>
      </c>
      <c r="K221" s="96" t="s">
        <v>3</v>
      </c>
      <c r="L221" s="96"/>
      <c r="M221" s="96"/>
      <c r="N221" s="100" t="s">
        <v>23</v>
      </c>
      <c r="O221" s="100">
        <f>+D225</f>
        <v>0</v>
      </c>
      <c r="P221" s="100">
        <f>+A219</f>
        <v>0</v>
      </c>
      <c r="Q221" s="101">
        <f>+O221*P221</f>
        <v>0</v>
      </c>
      <c r="R221" s="102">
        <f>-A219/2</f>
        <v>0</v>
      </c>
      <c r="S221" s="101">
        <f>+Q221*R221</f>
        <v>0</v>
      </c>
      <c r="T221" s="101">
        <f>+O221*(P221^3)/12</f>
        <v>0</v>
      </c>
      <c r="U221" s="101">
        <f>+Q221*(S224-R221)^2</f>
        <v>0</v>
      </c>
      <c r="V221" s="100"/>
      <c r="Z221" s="19"/>
      <c r="AA221" s="96"/>
      <c r="AB221" s="96"/>
    </row>
    <row r="222" spans="1:28" ht="12.75">
      <c r="A222" s="1">
        <f>+J220-J221</f>
        <v>50</v>
      </c>
      <c r="C222" s="1">
        <f>+A222-G220</f>
        <v>36</v>
      </c>
      <c r="D222" s="11"/>
      <c r="H222" s="96" t="s">
        <v>1</v>
      </c>
      <c r="I222" s="96"/>
      <c r="J222" s="95">
        <f>+$E$24</f>
        <v>0</v>
      </c>
      <c r="K222" s="96" t="s">
        <v>3</v>
      </c>
      <c r="L222" s="96"/>
      <c r="M222" s="96"/>
      <c r="N222" s="100" t="s">
        <v>22</v>
      </c>
      <c r="O222" s="100">
        <f>+C217</f>
        <v>72</v>
      </c>
      <c r="P222" s="100">
        <f>+G220</f>
        <v>14</v>
      </c>
      <c r="Q222" s="101">
        <f>+O222*P222</f>
        <v>1008</v>
      </c>
      <c r="R222" s="102">
        <f>+G220/2</f>
        <v>7</v>
      </c>
      <c r="S222" s="101">
        <f>+Q222*R222</f>
        <v>7056</v>
      </c>
      <c r="T222" s="101">
        <f>+O222*(P222^3)/12</f>
        <v>16464</v>
      </c>
      <c r="U222" s="101">
        <f>+Q222*(S224-R222)^2</f>
        <v>0</v>
      </c>
      <c r="V222" s="100"/>
      <c r="W222" s="96"/>
      <c r="X222" s="96"/>
      <c r="Y222" s="96"/>
      <c r="Z222" s="96"/>
      <c r="AA222" s="96"/>
      <c r="AB222" s="96"/>
    </row>
    <row r="223" spans="4:28" ht="12.75">
      <c r="D223" s="11"/>
      <c r="H223" s="96" t="s">
        <v>2</v>
      </c>
      <c r="I223" s="96"/>
      <c r="J223" s="95">
        <f>+$Y150</f>
        <v>14</v>
      </c>
      <c r="K223" s="96" t="s">
        <v>3</v>
      </c>
      <c r="L223" s="96"/>
      <c r="M223" s="96"/>
      <c r="N223" s="100"/>
      <c r="O223" s="100"/>
      <c r="P223" s="100"/>
      <c r="Q223" s="103">
        <f>SUM(Q220:Q222)</f>
        <v>1008</v>
      </c>
      <c r="R223" s="100"/>
      <c r="S223" s="103">
        <f>SUM(S220:S222)</f>
        <v>7056</v>
      </c>
      <c r="T223" s="103">
        <f>SUM(T220:T222)</f>
        <v>16464</v>
      </c>
      <c r="U223" s="103">
        <f>SUM(U220:U222)</f>
        <v>0</v>
      </c>
      <c r="V223" s="100"/>
      <c r="W223" s="96"/>
      <c r="X223" s="96"/>
      <c r="Y223" s="96"/>
      <c r="Z223" s="96"/>
      <c r="AA223" s="96"/>
      <c r="AB223" s="96"/>
    </row>
    <row r="224" spans="4:28" ht="13.5" thickBot="1">
      <c r="D224" s="12"/>
      <c r="H224" s="96" t="s">
        <v>10</v>
      </c>
      <c r="I224" s="96"/>
      <c r="J224" s="104">
        <f>+T223+U223</f>
        <v>16464</v>
      </c>
      <c r="K224" s="96" t="s">
        <v>11</v>
      </c>
      <c r="L224" s="96"/>
      <c r="M224" s="96"/>
      <c r="N224" s="100"/>
      <c r="O224" s="100"/>
      <c r="P224" s="100"/>
      <c r="Q224" s="100"/>
      <c r="R224" s="99" t="s">
        <v>9</v>
      </c>
      <c r="S224" s="102">
        <f>+S223/Q223</f>
        <v>7</v>
      </c>
      <c r="T224" s="100"/>
      <c r="U224" s="100"/>
      <c r="V224" s="100"/>
      <c r="W224" s="96"/>
      <c r="X224" s="96"/>
      <c r="Y224" s="96"/>
      <c r="Z224" s="96"/>
      <c r="AA224" s="96"/>
      <c r="AB224" s="96"/>
    </row>
    <row r="225" spans="4:28" ht="13.5" thickBot="1">
      <c r="D225" s="1">
        <f>+J222</f>
        <v>0</v>
      </c>
      <c r="H225" s="96" t="s">
        <v>12</v>
      </c>
      <c r="I225" s="96"/>
      <c r="J225" s="104">
        <f>+T225</f>
        <v>89180</v>
      </c>
      <c r="K225" s="96" t="s">
        <v>11</v>
      </c>
      <c r="L225" s="96"/>
      <c r="M225" s="96"/>
      <c r="N225" s="100" t="s">
        <v>21</v>
      </c>
      <c r="O225" s="100">
        <f>+B216</f>
        <v>390</v>
      </c>
      <c r="P225" s="100">
        <f>+J223</f>
        <v>14</v>
      </c>
      <c r="Q225" s="101">
        <f>+O225*P225</f>
        <v>5460</v>
      </c>
      <c r="R225" s="102"/>
      <c r="S225" s="101"/>
      <c r="T225" s="101">
        <f>+O225*(P225^3)/12</f>
        <v>89180</v>
      </c>
      <c r="U225" s="100"/>
      <c r="V225" s="100"/>
      <c r="W225" s="96"/>
      <c r="X225" s="96"/>
      <c r="Y225" s="96"/>
      <c r="Z225" s="96"/>
      <c r="AA225" s="96"/>
      <c r="AB225" s="96"/>
    </row>
    <row r="226" spans="8:28" ht="17.25" thickBot="1" thickTop="1">
      <c r="H226" s="96"/>
      <c r="I226" s="105" t="s">
        <v>101</v>
      </c>
      <c r="J226" s="106">
        <f>IF(J220=0,0,+J224/J225)</f>
        <v>0.18461538461538463</v>
      </c>
      <c r="K226" s="96"/>
      <c r="L226" s="96"/>
      <c r="M226" s="96"/>
      <c r="N226" s="96"/>
      <c r="O226" s="97"/>
      <c r="P226" s="97"/>
      <c r="Q226" s="97"/>
      <c r="R226" s="97"/>
      <c r="S226" s="97"/>
      <c r="T226" s="97"/>
      <c r="U226" s="97"/>
      <c r="V226" s="96"/>
      <c r="W226" s="96"/>
      <c r="X226" s="96"/>
      <c r="Y226" s="96"/>
      <c r="Z226" s="96"/>
      <c r="AA226" s="96"/>
      <c r="AB226" s="96"/>
    </row>
    <row r="227" spans="1:28" ht="15" thickTop="1">
      <c r="A227" s="25"/>
      <c r="B227" s="25"/>
      <c r="C227" s="25"/>
      <c r="D227" s="25"/>
      <c r="E227" s="25"/>
      <c r="F227" s="25"/>
      <c r="G227" s="25"/>
      <c r="H227" s="107" t="s">
        <v>100</v>
      </c>
      <c r="I227" s="108"/>
      <c r="J227" s="108"/>
      <c r="K227" s="108"/>
      <c r="L227" s="108"/>
      <c r="M227" s="108"/>
      <c r="N227" s="108"/>
      <c r="O227" s="109"/>
      <c r="P227" s="109"/>
      <c r="Q227" s="109"/>
      <c r="R227" s="109"/>
      <c r="S227" s="109"/>
      <c r="T227" s="109"/>
      <c r="U227" s="109"/>
      <c r="V227" s="108"/>
      <c r="W227" s="96"/>
      <c r="X227" s="96"/>
      <c r="Y227" s="96"/>
      <c r="Z227" s="96"/>
      <c r="AA227" s="96"/>
      <c r="AB227" s="96"/>
    </row>
    <row r="228" spans="8:28" ht="12.75">
      <c r="H228" s="96"/>
      <c r="I228" s="96"/>
      <c r="J228" s="96"/>
      <c r="K228" s="96"/>
      <c r="L228" s="96"/>
      <c r="M228" s="96"/>
      <c r="N228" s="96"/>
      <c r="O228" s="97"/>
      <c r="P228" s="97"/>
      <c r="Q228" s="97"/>
      <c r="R228" s="97"/>
      <c r="S228" s="97"/>
      <c r="T228" s="97"/>
      <c r="U228" s="97"/>
      <c r="V228" s="96"/>
      <c r="W228" s="96"/>
      <c r="X228" s="96"/>
      <c r="Y228" s="96"/>
      <c r="Z228" s="96"/>
      <c r="AA228" s="96"/>
      <c r="AB228" s="96"/>
    </row>
    <row r="229" spans="2:28" ht="12.75">
      <c r="B229" s="122">
        <f>IF(J232=0,+K232/2+D231/2,+IF(K232=0,+J232/2+D231/2,+(J232+K232)/2))</f>
        <v>435</v>
      </c>
      <c r="C229" s="122"/>
      <c r="D229" s="122"/>
      <c r="E229" s="122"/>
      <c r="F229" s="122"/>
      <c r="H229" s="96"/>
      <c r="I229" s="96"/>
      <c r="J229" s="96"/>
      <c r="K229" s="96"/>
      <c r="L229" s="96"/>
      <c r="M229" s="96"/>
      <c r="N229" s="96"/>
      <c r="O229" s="97"/>
      <c r="P229" s="97"/>
      <c r="Q229" s="97"/>
      <c r="R229" s="97"/>
      <c r="S229" s="97"/>
      <c r="T229" s="97"/>
      <c r="U229" s="97"/>
      <c r="V229" s="96"/>
      <c r="W229" s="96"/>
      <c r="X229" s="96"/>
      <c r="Y229" s="96"/>
      <c r="Z229" s="96"/>
      <c r="AA229" s="96"/>
      <c r="AB229" s="96"/>
    </row>
    <row r="230" spans="3:28" ht="12.75">
      <c r="C230" s="122">
        <f>SUM(C231:E231)</f>
        <v>62</v>
      </c>
      <c r="D230" s="122"/>
      <c r="E230" s="122"/>
      <c r="H230" s="95" t="s">
        <v>32</v>
      </c>
      <c r="I230" s="96"/>
      <c r="J230" s="96"/>
      <c r="K230" s="96"/>
      <c r="L230" s="96"/>
      <c r="M230" s="96"/>
      <c r="N230" s="96"/>
      <c r="O230" s="97"/>
      <c r="P230" s="97"/>
      <c r="Q230" s="97"/>
      <c r="R230" s="97"/>
      <c r="S230" s="97"/>
      <c r="T230" s="97"/>
      <c r="U230" s="97"/>
      <c r="V230" s="96"/>
      <c r="W230" s="96"/>
      <c r="X230" s="96"/>
      <c r="Y230" s="96"/>
      <c r="Z230" s="96"/>
      <c r="AA230" s="96"/>
      <c r="AB230" s="96"/>
    </row>
    <row r="231" spans="3:28" ht="13.5" thickBot="1">
      <c r="C231" s="8">
        <f>IF(J232=0,0,+IF(C235&gt;4*G233,4*G233,+C235))</f>
        <v>31</v>
      </c>
      <c r="D231" s="8">
        <f>+J235</f>
        <v>0</v>
      </c>
      <c r="E231" s="8">
        <f>IF(K232=0,0,+IF(C235&gt;4*G233,4*G233,+C235))</f>
        <v>31</v>
      </c>
      <c r="H231" s="96"/>
      <c r="I231" s="96"/>
      <c r="J231" s="98" t="s">
        <v>14</v>
      </c>
      <c r="K231" s="98" t="s">
        <v>15</v>
      </c>
      <c r="L231" s="96"/>
      <c r="M231" s="96"/>
      <c r="N231" s="96"/>
      <c r="O231" s="97"/>
      <c r="P231" s="97"/>
      <c r="Q231" s="97"/>
      <c r="R231" s="97"/>
      <c r="S231" s="97"/>
      <c r="T231" s="97"/>
      <c r="U231" s="97"/>
      <c r="V231" s="96"/>
      <c r="W231" s="96"/>
      <c r="X231" s="96"/>
      <c r="Y231" s="96"/>
      <c r="Z231" s="96"/>
      <c r="AA231" s="96"/>
      <c r="AB231" s="96"/>
    </row>
    <row r="232" spans="1:28" ht="13.5" thickBot="1">
      <c r="A232" s="1">
        <f>+J234</f>
        <v>0</v>
      </c>
      <c r="D232" s="18"/>
      <c r="H232" s="96" t="s">
        <v>13</v>
      </c>
      <c r="I232" s="96"/>
      <c r="J232" s="95">
        <f>+$E$13*100</f>
        <v>400</v>
      </c>
      <c r="K232" s="95">
        <f>+$E$8*100</f>
        <v>470</v>
      </c>
      <c r="L232" s="96" t="s">
        <v>3</v>
      </c>
      <c r="M232" s="96"/>
      <c r="N232" s="96"/>
      <c r="O232" s="99" t="s">
        <v>4</v>
      </c>
      <c r="P232" s="99" t="s">
        <v>5</v>
      </c>
      <c r="Q232" s="99" t="s">
        <v>6</v>
      </c>
      <c r="R232" s="99" t="s">
        <v>7</v>
      </c>
      <c r="S232" s="99" t="s">
        <v>8</v>
      </c>
      <c r="T232" s="99" t="s">
        <v>19</v>
      </c>
      <c r="U232" s="99" t="s">
        <v>20</v>
      </c>
      <c r="V232" s="100"/>
      <c r="W232" s="96"/>
      <c r="X232" s="96"/>
      <c r="Y232" s="96"/>
      <c r="Z232" s="96"/>
      <c r="AA232" s="96"/>
      <c r="AB232" s="96"/>
    </row>
    <row r="233" spans="2:28" ht="13.5" thickBot="1">
      <c r="B233" s="13"/>
      <c r="C233" s="9"/>
      <c r="D233" s="17"/>
      <c r="E233" s="10"/>
      <c r="F233" s="14"/>
      <c r="G233" s="7">
        <f>+J236</f>
        <v>14</v>
      </c>
      <c r="H233" s="96" t="s">
        <v>0</v>
      </c>
      <c r="I233" s="96"/>
      <c r="J233" s="95">
        <f>+$F$25</f>
        <v>45</v>
      </c>
      <c r="K233" s="96" t="s">
        <v>3</v>
      </c>
      <c r="L233" s="96"/>
      <c r="M233" s="96"/>
      <c r="N233" s="100" t="s">
        <v>24</v>
      </c>
      <c r="O233" s="100">
        <f>+D238</f>
        <v>0</v>
      </c>
      <c r="P233" s="100">
        <f>+C235</f>
        <v>31</v>
      </c>
      <c r="Q233" s="101">
        <f>+O233*P233</f>
        <v>0</v>
      </c>
      <c r="R233" s="102">
        <f>+G233+C235/2</f>
        <v>29.5</v>
      </c>
      <c r="S233" s="101">
        <f>+Q233*R233</f>
        <v>0</v>
      </c>
      <c r="T233" s="101">
        <f>+O233*(P233^3)/12</f>
        <v>0</v>
      </c>
      <c r="U233" s="101">
        <f>+Q233*(S237-R233)^2</f>
        <v>0</v>
      </c>
      <c r="V233" s="100"/>
      <c r="W233" s="96"/>
      <c r="X233" s="96"/>
      <c r="Y233" s="96"/>
      <c r="Z233" s="96"/>
      <c r="AA233" s="96"/>
      <c r="AB233" s="96"/>
    </row>
    <row r="234" spans="4:28" ht="12.75">
      <c r="D234" s="11"/>
      <c r="H234" s="96" t="s">
        <v>18</v>
      </c>
      <c r="I234" s="96"/>
      <c r="J234" s="95">
        <f>+$H$25</f>
        <v>0</v>
      </c>
      <c r="K234" s="96" t="s">
        <v>3</v>
      </c>
      <c r="L234" s="96"/>
      <c r="M234" s="96"/>
      <c r="N234" s="100" t="s">
        <v>23</v>
      </c>
      <c r="O234" s="100">
        <f>+D238</f>
        <v>0</v>
      </c>
      <c r="P234" s="100">
        <f>+A232</f>
        <v>0</v>
      </c>
      <c r="Q234" s="101">
        <f>+O234*P234</f>
        <v>0</v>
      </c>
      <c r="R234" s="102">
        <f>-A232/2</f>
        <v>0</v>
      </c>
      <c r="S234" s="101">
        <f>+Q234*R234</f>
        <v>0</v>
      </c>
      <c r="T234" s="101">
        <f>+O234*(P234^3)/12</f>
        <v>0</v>
      </c>
      <c r="U234" s="101">
        <f>+Q234*(S237-R234)^2</f>
        <v>0</v>
      </c>
      <c r="V234" s="100"/>
      <c r="W234" s="96"/>
      <c r="X234" s="96"/>
      <c r="Y234" s="96"/>
      <c r="Z234" s="96"/>
      <c r="AA234" s="96"/>
      <c r="AB234" s="96"/>
    </row>
    <row r="235" spans="1:28" ht="12.75">
      <c r="A235" s="1">
        <f>+J233-J234</f>
        <v>45</v>
      </c>
      <c r="C235" s="1">
        <f>+A235-G233</f>
        <v>31</v>
      </c>
      <c r="D235" s="11"/>
      <c r="H235" s="96" t="s">
        <v>1</v>
      </c>
      <c r="I235" s="96"/>
      <c r="J235" s="95">
        <f>+$E$25</f>
        <v>0</v>
      </c>
      <c r="K235" s="96" t="s">
        <v>3</v>
      </c>
      <c r="L235" s="96"/>
      <c r="M235" s="96"/>
      <c r="N235" s="100" t="s">
        <v>22</v>
      </c>
      <c r="O235" s="100">
        <f>+C230</f>
        <v>62</v>
      </c>
      <c r="P235" s="100">
        <f>+G233</f>
        <v>14</v>
      </c>
      <c r="Q235" s="101">
        <f>+O235*P235</f>
        <v>868</v>
      </c>
      <c r="R235" s="102">
        <f>+G233/2</f>
        <v>7</v>
      </c>
      <c r="S235" s="101">
        <f>+Q235*R235</f>
        <v>6076</v>
      </c>
      <c r="T235" s="101">
        <f>+O235*(P235^3)/12</f>
        <v>14177.333333333334</v>
      </c>
      <c r="U235" s="101">
        <f>+Q235*(S237-R235)^2</f>
        <v>0</v>
      </c>
      <c r="V235" s="100"/>
      <c r="W235" s="96"/>
      <c r="X235" s="96"/>
      <c r="Y235" s="96"/>
      <c r="Z235" s="96"/>
      <c r="AA235" s="96"/>
      <c r="AB235" s="96"/>
    </row>
    <row r="236" spans="4:28" ht="12.75">
      <c r="D236" s="11"/>
      <c r="H236" s="96" t="s">
        <v>2</v>
      </c>
      <c r="I236" s="96"/>
      <c r="J236" s="95">
        <f>+$Y150</f>
        <v>14</v>
      </c>
      <c r="K236" s="96" t="s">
        <v>3</v>
      </c>
      <c r="L236" s="96"/>
      <c r="M236" s="96"/>
      <c r="N236" s="100"/>
      <c r="O236" s="100"/>
      <c r="P236" s="100"/>
      <c r="Q236" s="103">
        <f>SUM(Q233:Q235)</f>
        <v>868</v>
      </c>
      <c r="R236" s="100"/>
      <c r="S236" s="103">
        <f>SUM(S233:S235)</f>
        <v>6076</v>
      </c>
      <c r="T236" s="103">
        <f>SUM(T233:T235)</f>
        <v>14177.333333333334</v>
      </c>
      <c r="U236" s="103">
        <f>SUM(U233:U235)</f>
        <v>0</v>
      </c>
      <c r="V236" s="100"/>
      <c r="W236" s="96"/>
      <c r="X236" s="96"/>
      <c r="Y236" s="96"/>
      <c r="Z236" s="96"/>
      <c r="AA236" s="96"/>
      <c r="AB236" s="96"/>
    </row>
    <row r="237" spans="4:28" ht="13.5" thickBot="1">
      <c r="D237" s="12"/>
      <c r="H237" s="96" t="s">
        <v>10</v>
      </c>
      <c r="I237" s="96"/>
      <c r="J237" s="104">
        <f>+T236+U236</f>
        <v>14177.333333333334</v>
      </c>
      <c r="K237" s="96" t="s">
        <v>11</v>
      </c>
      <c r="L237" s="96"/>
      <c r="M237" s="96"/>
      <c r="N237" s="100"/>
      <c r="O237" s="100"/>
      <c r="P237" s="100"/>
      <c r="Q237" s="100"/>
      <c r="R237" s="99" t="s">
        <v>9</v>
      </c>
      <c r="S237" s="102">
        <f>+S236/Q236</f>
        <v>7</v>
      </c>
      <c r="T237" s="100"/>
      <c r="U237" s="100"/>
      <c r="V237" s="100"/>
      <c r="W237" s="96"/>
      <c r="X237" s="96"/>
      <c r="Y237" s="96"/>
      <c r="Z237" s="96"/>
      <c r="AA237" s="96"/>
      <c r="AB237" s="96"/>
    </row>
    <row r="238" spans="4:28" ht="13.5" thickBot="1">
      <c r="D238" s="1">
        <f>+J235</f>
        <v>0</v>
      </c>
      <c r="H238" s="96" t="s">
        <v>12</v>
      </c>
      <c r="I238" s="96"/>
      <c r="J238" s="104">
        <f>+T238</f>
        <v>99470</v>
      </c>
      <c r="K238" s="96" t="s">
        <v>11</v>
      </c>
      <c r="L238" s="96"/>
      <c r="M238" s="96"/>
      <c r="N238" s="100" t="s">
        <v>21</v>
      </c>
      <c r="O238" s="100">
        <f>+B229</f>
        <v>435</v>
      </c>
      <c r="P238" s="100">
        <f>+J236</f>
        <v>14</v>
      </c>
      <c r="Q238" s="101">
        <f>+O238*P238</f>
        <v>6090</v>
      </c>
      <c r="R238" s="102"/>
      <c r="S238" s="101"/>
      <c r="T238" s="101">
        <f>+O238*(P238^3)/12</f>
        <v>99470</v>
      </c>
      <c r="U238" s="100"/>
      <c r="V238" s="100"/>
      <c r="W238" s="96"/>
      <c r="X238" s="96"/>
      <c r="Y238" s="96"/>
      <c r="Z238" s="96"/>
      <c r="AA238" s="96"/>
      <c r="AB238" s="96"/>
    </row>
    <row r="239" spans="8:28" ht="17.25" thickBot="1" thickTop="1">
      <c r="H239" s="96"/>
      <c r="I239" s="105" t="s">
        <v>102</v>
      </c>
      <c r="J239" s="106">
        <f>IF(J233=0,0,+J237/J238)</f>
        <v>0.1425287356321839</v>
      </c>
      <c r="K239" s="96"/>
      <c r="L239" s="96"/>
      <c r="M239" s="96"/>
      <c r="N239" s="96"/>
      <c r="O239" s="97"/>
      <c r="P239" s="97"/>
      <c r="Q239" s="97"/>
      <c r="R239" s="97"/>
      <c r="S239" s="97"/>
      <c r="T239" s="97"/>
      <c r="U239" s="97"/>
      <c r="V239" s="96"/>
      <c r="W239" s="96"/>
      <c r="X239" s="96"/>
      <c r="Y239" s="96"/>
      <c r="Z239" s="96"/>
      <c r="AA239" s="96"/>
      <c r="AB239" s="96"/>
    </row>
    <row r="240" spans="1:28" ht="15" thickTop="1">
      <c r="A240" s="25"/>
      <c r="B240" s="25"/>
      <c r="C240" s="25"/>
      <c r="D240" s="25"/>
      <c r="E240" s="25"/>
      <c r="F240" s="25"/>
      <c r="G240" s="25"/>
      <c r="H240" s="107" t="s">
        <v>100</v>
      </c>
      <c r="I240" s="108"/>
      <c r="J240" s="108"/>
      <c r="K240" s="108"/>
      <c r="L240" s="108"/>
      <c r="M240" s="108"/>
      <c r="N240" s="108"/>
      <c r="O240" s="109"/>
      <c r="P240" s="109"/>
      <c r="Q240" s="109"/>
      <c r="R240" s="109"/>
      <c r="S240" s="109"/>
      <c r="T240" s="109"/>
      <c r="U240" s="109"/>
      <c r="V240" s="108"/>
      <c r="W240" s="96"/>
      <c r="X240" s="96"/>
      <c r="Y240" s="96"/>
      <c r="Z240" s="96"/>
      <c r="AA240" s="96"/>
      <c r="AB240" s="96"/>
    </row>
    <row r="241" spans="8:28" ht="12.75">
      <c r="H241" s="96"/>
      <c r="I241" s="96"/>
      <c r="J241" s="96"/>
      <c r="K241" s="96"/>
      <c r="L241" s="96"/>
      <c r="M241" s="96"/>
      <c r="N241" s="96"/>
      <c r="O241" s="97"/>
      <c r="P241" s="97"/>
      <c r="Q241" s="97"/>
      <c r="R241" s="97"/>
      <c r="S241" s="97"/>
      <c r="T241" s="97"/>
      <c r="U241" s="97"/>
      <c r="V241" s="96"/>
      <c r="W241" s="96"/>
      <c r="X241" s="96"/>
      <c r="Y241" s="96"/>
      <c r="Z241" s="96"/>
      <c r="AA241" s="96"/>
      <c r="AB241" s="96"/>
    </row>
    <row r="242" spans="2:28" ht="12.75">
      <c r="B242" s="122">
        <f>IF(J245=0,+K245/2+D244/2,+IF(K245=0,+J245/2+D244/2,+(J245+K245)/2))</f>
        <v>485</v>
      </c>
      <c r="C242" s="122"/>
      <c r="D242" s="122"/>
      <c r="E242" s="122"/>
      <c r="F242" s="122"/>
      <c r="H242" s="96"/>
      <c r="I242" s="96"/>
      <c r="J242" s="96"/>
      <c r="K242" s="96"/>
      <c r="L242" s="96"/>
      <c r="M242" s="96"/>
      <c r="N242" s="96"/>
      <c r="O242" s="97"/>
      <c r="P242" s="97"/>
      <c r="Q242" s="97"/>
      <c r="R242" s="97"/>
      <c r="S242" s="97"/>
      <c r="T242" s="97"/>
      <c r="U242" s="97"/>
      <c r="V242" s="96"/>
      <c r="W242" s="96"/>
      <c r="X242" s="96"/>
      <c r="Y242" s="96"/>
      <c r="Z242" s="96"/>
      <c r="AA242" s="96"/>
      <c r="AB242" s="96"/>
    </row>
    <row r="243" spans="3:28" ht="12.75">
      <c r="C243" s="122">
        <f>SUM(C244:E244)</f>
        <v>62</v>
      </c>
      <c r="D243" s="122"/>
      <c r="E243" s="122"/>
      <c r="H243" s="95" t="s">
        <v>33</v>
      </c>
      <c r="I243" s="96"/>
      <c r="J243" s="96"/>
      <c r="K243" s="96"/>
      <c r="L243" s="96"/>
      <c r="M243" s="96"/>
      <c r="N243" s="96"/>
      <c r="O243" s="97"/>
      <c r="P243" s="97"/>
      <c r="Q243" s="97"/>
      <c r="R243" s="97"/>
      <c r="S243" s="97"/>
      <c r="T243" s="97"/>
      <c r="U243" s="97"/>
      <c r="V243" s="96"/>
      <c r="W243" s="96"/>
      <c r="X243" s="96"/>
      <c r="Y243" s="96"/>
      <c r="Z243" s="96"/>
      <c r="AA243" s="96"/>
      <c r="AB243" s="96"/>
    </row>
    <row r="244" spans="3:28" ht="13.5" thickBot="1">
      <c r="C244" s="8">
        <f>IF(J245=0,0,+IF(C248&gt;4*G246,4*G246,+C248))</f>
        <v>31</v>
      </c>
      <c r="D244" s="8">
        <f>+J248</f>
        <v>0</v>
      </c>
      <c r="E244" s="8">
        <f>IF(K245=0,0,+IF(C248&gt;4*G246,4*G246,+C248))</f>
        <v>31</v>
      </c>
      <c r="H244" s="96"/>
      <c r="I244" s="96"/>
      <c r="J244" s="98" t="s">
        <v>14</v>
      </c>
      <c r="K244" s="98" t="s">
        <v>15</v>
      </c>
      <c r="L244" s="96"/>
      <c r="M244" s="96"/>
      <c r="N244" s="96"/>
      <c r="O244" s="97"/>
      <c r="P244" s="97"/>
      <c r="Q244" s="97"/>
      <c r="R244" s="97"/>
      <c r="S244" s="97"/>
      <c r="T244" s="97"/>
      <c r="U244" s="97"/>
      <c r="V244" s="96"/>
      <c r="W244" s="96"/>
      <c r="X244" s="96"/>
      <c r="Y244" s="96"/>
      <c r="Z244" s="96"/>
      <c r="AA244" s="96"/>
      <c r="AB244" s="96"/>
    </row>
    <row r="245" spans="1:28" ht="13.5" thickBot="1">
      <c r="A245" s="1">
        <f>+J247</f>
        <v>0</v>
      </c>
      <c r="D245" s="18"/>
      <c r="H245" s="96" t="s">
        <v>13</v>
      </c>
      <c r="I245" s="96"/>
      <c r="J245" s="95">
        <f>+$E$8*100</f>
        <v>470</v>
      </c>
      <c r="K245" s="95">
        <f>+$E$14*100</f>
        <v>500</v>
      </c>
      <c r="L245" s="96" t="s">
        <v>3</v>
      </c>
      <c r="M245" s="96"/>
      <c r="N245" s="96"/>
      <c r="O245" s="99" t="s">
        <v>4</v>
      </c>
      <c r="P245" s="99" t="s">
        <v>5</v>
      </c>
      <c r="Q245" s="99" t="s">
        <v>6</v>
      </c>
      <c r="R245" s="99" t="s">
        <v>7</v>
      </c>
      <c r="S245" s="99" t="s">
        <v>8</v>
      </c>
      <c r="T245" s="99" t="s">
        <v>19</v>
      </c>
      <c r="U245" s="99" t="s">
        <v>20</v>
      </c>
      <c r="V245" s="100"/>
      <c r="W245" s="96"/>
      <c r="X245" s="96"/>
      <c r="Y245" s="96"/>
      <c r="Z245" s="96"/>
      <c r="AA245" s="96"/>
      <c r="AB245" s="96"/>
    </row>
    <row r="246" spans="2:28" ht="13.5" thickBot="1">
      <c r="B246" s="13"/>
      <c r="C246" s="9"/>
      <c r="D246" s="17"/>
      <c r="E246" s="10"/>
      <c r="F246" s="14"/>
      <c r="G246" s="7">
        <f>+J249</f>
        <v>14</v>
      </c>
      <c r="H246" s="96" t="s">
        <v>0</v>
      </c>
      <c r="I246" s="96"/>
      <c r="J246" s="95">
        <f>+$F$26</f>
        <v>45</v>
      </c>
      <c r="K246" s="96" t="s">
        <v>3</v>
      </c>
      <c r="L246" s="96"/>
      <c r="M246" s="96"/>
      <c r="N246" s="100" t="s">
        <v>24</v>
      </c>
      <c r="O246" s="100">
        <f>+D251</f>
        <v>0</v>
      </c>
      <c r="P246" s="100">
        <f>+C248</f>
        <v>31</v>
      </c>
      <c r="Q246" s="101">
        <f>+O246*P246</f>
        <v>0</v>
      </c>
      <c r="R246" s="102">
        <f>+G246+C248/2</f>
        <v>29.5</v>
      </c>
      <c r="S246" s="101">
        <f>+Q246*R246</f>
        <v>0</v>
      </c>
      <c r="T246" s="101">
        <f>+O246*(P246^3)/12</f>
        <v>0</v>
      </c>
      <c r="U246" s="101">
        <f>+Q246*(S250-R246)^2</f>
        <v>0</v>
      </c>
      <c r="V246" s="100"/>
      <c r="W246" s="96"/>
      <c r="X246" s="96"/>
      <c r="Y246" s="96"/>
      <c r="Z246" s="96"/>
      <c r="AA246" s="96"/>
      <c r="AB246" s="96"/>
    </row>
    <row r="247" spans="4:28" ht="12.75">
      <c r="D247" s="11"/>
      <c r="H247" s="96" t="s">
        <v>18</v>
      </c>
      <c r="I247" s="96"/>
      <c r="J247" s="95">
        <f>+$H$26</f>
        <v>0</v>
      </c>
      <c r="K247" s="96" t="s">
        <v>3</v>
      </c>
      <c r="L247" s="96"/>
      <c r="M247" s="96"/>
      <c r="N247" s="100" t="s">
        <v>23</v>
      </c>
      <c r="O247" s="100">
        <f>+D251</f>
        <v>0</v>
      </c>
      <c r="P247" s="100">
        <f>+A245</f>
        <v>0</v>
      </c>
      <c r="Q247" s="101">
        <f>+O247*P247</f>
        <v>0</v>
      </c>
      <c r="R247" s="102">
        <f>-A245/2</f>
        <v>0</v>
      </c>
      <c r="S247" s="101">
        <f>+Q247*R247</f>
        <v>0</v>
      </c>
      <c r="T247" s="101">
        <f>+O247*(P247^3)/12</f>
        <v>0</v>
      </c>
      <c r="U247" s="101">
        <f>+Q247*(S250-R247)^2</f>
        <v>0</v>
      </c>
      <c r="V247" s="100"/>
      <c r="W247" s="96"/>
      <c r="X247" s="96"/>
      <c r="Y247" s="96"/>
      <c r="Z247" s="96"/>
      <c r="AA247" s="96"/>
      <c r="AB247" s="96"/>
    </row>
    <row r="248" spans="1:28" ht="12.75">
      <c r="A248" s="1">
        <f>+J246-J247</f>
        <v>45</v>
      </c>
      <c r="C248" s="1">
        <f>+A248-G246</f>
        <v>31</v>
      </c>
      <c r="D248" s="11"/>
      <c r="H248" s="96" t="s">
        <v>1</v>
      </c>
      <c r="I248" s="96"/>
      <c r="J248" s="95">
        <f>+$E$26</f>
        <v>0</v>
      </c>
      <c r="K248" s="96" t="s">
        <v>3</v>
      </c>
      <c r="L248" s="96"/>
      <c r="M248" s="96"/>
      <c r="N248" s="100" t="s">
        <v>22</v>
      </c>
      <c r="O248" s="100">
        <f>+C243</f>
        <v>62</v>
      </c>
      <c r="P248" s="100">
        <f>+G246</f>
        <v>14</v>
      </c>
      <c r="Q248" s="101">
        <f>+O248*P248</f>
        <v>868</v>
      </c>
      <c r="R248" s="102">
        <f>+G246/2</f>
        <v>7</v>
      </c>
      <c r="S248" s="101">
        <f>+Q248*R248</f>
        <v>6076</v>
      </c>
      <c r="T248" s="101">
        <f>+O248*(P248^3)/12</f>
        <v>14177.333333333334</v>
      </c>
      <c r="U248" s="101">
        <f>+Q248*(S250-R248)^2</f>
        <v>0</v>
      </c>
      <c r="V248" s="100"/>
      <c r="W248" s="96"/>
      <c r="X248" s="96"/>
      <c r="Y248" s="96"/>
      <c r="Z248" s="96"/>
      <c r="AA248" s="96"/>
      <c r="AB248" s="96"/>
    </row>
    <row r="249" spans="4:28" ht="12.75">
      <c r="D249" s="11"/>
      <c r="H249" s="96" t="s">
        <v>2</v>
      </c>
      <c r="I249" s="96"/>
      <c r="J249" s="95">
        <f>+$Y150</f>
        <v>14</v>
      </c>
      <c r="K249" s="96" t="s">
        <v>3</v>
      </c>
      <c r="L249" s="96"/>
      <c r="M249" s="96"/>
      <c r="N249" s="100"/>
      <c r="O249" s="100"/>
      <c r="P249" s="100"/>
      <c r="Q249" s="103">
        <f>SUM(Q246:Q248)</f>
        <v>868</v>
      </c>
      <c r="R249" s="100"/>
      <c r="S249" s="103">
        <f>SUM(S246:S248)</f>
        <v>6076</v>
      </c>
      <c r="T249" s="103">
        <f>SUM(T246:T248)</f>
        <v>14177.333333333334</v>
      </c>
      <c r="U249" s="103">
        <f>SUM(U246:U248)</f>
        <v>0</v>
      </c>
      <c r="V249" s="100"/>
      <c r="W249" s="96"/>
      <c r="X249" s="96"/>
      <c r="Y249" s="96"/>
      <c r="Z249" s="96"/>
      <c r="AA249" s="96"/>
      <c r="AB249" s="96"/>
    </row>
    <row r="250" spans="4:28" ht="13.5" thickBot="1">
      <c r="D250" s="12"/>
      <c r="H250" s="96" t="s">
        <v>10</v>
      </c>
      <c r="I250" s="96"/>
      <c r="J250" s="104">
        <f>+T249+U249</f>
        <v>14177.333333333334</v>
      </c>
      <c r="K250" s="96" t="s">
        <v>11</v>
      </c>
      <c r="L250" s="96"/>
      <c r="M250" s="96"/>
      <c r="N250" s="100"/>
      <c r="O250" s="100"/>
      <c r="P250" s="100"/>
      <c r="Q250" s="100"/>
      <c r="R250" s="99" t="s">
        <v>9</v>
      </c>
      <c r="S250" s="102">
        <f>+S249/Q249</f>
        <v>7</v>
      </c>
      <c r="T250" s="100"/>
      <c r="U250" s="100"/>
      <c r="V250" s="100"/>
      <c r="W250" s="96"/>
      <c r="X250" s="96"/>
      <c r="Y250" s="96"/>
      <c r="Z250" s="96"/>
      <c r="AA250" s="96"/>
      <c r="AB250" s="96"/>
    </row>
    <row r="251" spans="4:28" ht="13.5" thickBot="1">
      <c r="D251" s="1">
        <f>+J248</f>
        <v>0</v>
      </c>
      <c r="H251" s="96" t="s">
        <v>12</v>
      </c>
      <c r="I251" s="96"/>
      <c r="J251" s="104">
        <f>+T251</f>
        <v>110903.33333333333</v>
      </c>
      <c r="K251" s="96" t="s">
        <v>11</v>
      </c>
      <c r="L251" s="96"/>
      <c r="M251" s="96"/>
      <c r="N251" s="100" t="s">
        <v>21</v>
      </c>
      <c r="O251" s="100">
        <f>+B242</f>
        <v>485</v>
      </c>
      <c r="P251" s="100">
        <f>+J249</f>
        <v>14</v>
      </c>
      <c r="Q251" s="101">
        <f>+O251*P251</f>
        <v>6790</v>
      </c>
      <c r="R251" s="102"/>
      <c r="S251" s="101"/>
      <c r="T251" s="101">
        <f>+O251*(P251^3)/12</f>
        <v>110903.33333333333</v>
      </c>
      <c r="U251" s="100"/>
      <c r="V251" s="100"/>
      <c r="W251" s="96"/>
      <c r="X251" s="96"/>
      <c r="Y251" s="96"/>
      <c r="Z251" s="96"/>
      <c r="AA251" s="96"/>
      <c r="AB251" s="96"/>
    </row>
    <row r="252" spans="8:28" ht="17.25" thickBot="1" thickTop="1">
      <c r="H252" s="96"/>
      <c r="I252" s="105" t="s">
        <v>103</v>
      </c>
      <c r="J252" s="106">
        <f>IF(J246=0,0,+J250/J251)</f>
        <v>0.12783505154639177</v>
      </c>
      <c r="K252" s="96"/>
      <c r="L252" s="96"/>
      <c r="M252" s="96"/>
      <c r="N252" s="96"/>
      <c r="O252" s="97"/>
      <c r="P252" s="97"/>
      <c r="Q252" s="97"/>
      <c r="R252" s="97"/>
      <c r="S252" s="97"/>
      <c r="T252" s="97"/>
      <c r="U252" s="97"/>
      <c r="V252" s="96"/>
      <c r="W252" s="96"/>
      <c r="X252" s="96"/>
      <c r="Y252" s="96"/>
      <c r="Z252" s="96"/>
      <c r="AA252" s="96"/>
      <c r="AB252" s="96"/>
    </row>
    <row r="253" spans="1:28" ht="15" thickTop="1">
      <c r="A253" s="25"/>
      <c r="B253" s="25"/>
      <c r="C253" s="25"/>
      <c r="D253" s="25"/>
      <c r="E253" s="25"/>
      <c r="F253" s="25"/>
      <c r="G253" s="25"/>
      <c r="H253" s="107" t="s">
        <v>100</v>
      </c>
      <c r="I253" s="108"/>
      <c r="J253" s="108"/>
      <c r="K253" s="108"/>
      <c r="L253" s="108"/>
      <c r="M253" s="108"/>
      <c r="N253" s="108"/>
      <c r="O253" s="109"/>
      <c r="P253" s="109"/>
      <c r="Q253" s="109"/>
      <c r="R253" s="109"/>
      <c r="S253" s="109"/>
      <c r="T253" s="109"/>
      <c r="U253" s="109"/>
      <c r="V253" s="108"/>
      <c r="W253" s="96"/>
      <c r="X253" s="96"/>
      <c r="Y253" s="96"/>
      <c r="Z253" s="96"/>
      <c r="AA253" s="96"/>
      <c r="AB253" s="96"/>
    </row>
    <row r="255" spans="1:24" ht="13.5" thickBot="1">
      <c r="A255" s="94" t="s">
        <v>107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30"/>
      <c r="P255" s="30"/>
      <c r="Q255" s="30"/>
      <c r="R255" s="30"/>
      <c r="S255" s="30"/>
      <c r="T255" s="30"/>
      <c r="U255" s="30"/>
      <c r="V255" s="29"/>
      <c r="X255" t="s">
        <v>107</v>
      </c>
    </row>
    <row r="256" spans="2:28" ht="15.75" thickBot="1">
      <c r="B256" s="122">
        <f>IF(J259=0,+K259/2+D258/2,+IF(K259=0,+J259/2+D258/2,+(J259+K259)/2))</f>
        <v>390</v>
      </c>
      <c r="C256" s="122"/>
      <c r="D256" s="122"/>
      <c r="E256" s="122"/>
      <c r="F256" s="122"/>
      <c r="W256" s="50"/>
      <c r="X256" s="51" t="s">
        <v>82</v>
      </c>
      <c r="Y256" s="52">
        <f>ROUND(IF(Z260&lt;0.2,+W269,+IF(Z260&lt;2,+X269,+Y269))*AB256,0)</f>
        <v>14</v>
      </c>
      <c r="Z256" s="53" t="s">
        <v>3</v>
      </c>
      <c r="AB256">
        <f>IF(Z260&lt;0.2,1,+AB257)</f>
        <v>1</v>
      </c>
    </row>
    <row r="257" spans="3:28" ht="12.75">
      <c r="C257" s="122">
        <f>SUM(C258:E258)</f>
        <v>72</v>
      </c>
      <c r="D257" s="122"/>
      <c r="E257" s="122"/>
      <c r="H257" s="95" t="s">
        <v>30</v>
      </c>
      <c r="I257" s="96"/>
      <c r="J257" s="96"/>
      <c r="K257" s="96"/>
      <c r="L257" s="96"/>
      <c r="M257" s="96"/>
      <c r="N257" s="96"/>
      <c r="O257" s="97"/>
      <c r="P257" s="97"/>
      <c r="Q257" s="97"/>
      <c r="R257" s="97"/>
      <c r="S257" s="97"/>
      <c r="T257" s="97"/>
      <c r="U257" s="97"/>
      <c r="V257" s="96"/>
      <c r="W257" s="2" t="s">
        <v>104</v>
      </c>
      <c r="X257">
        <f>+Y203</f>
        <v>14</v>
      </c>
      <c r="Y257" t="s">
        <v>3</v>
      </c>
      <c r="AB257" s="31">
        <f>MAX(AB258:AB261)</f>
        <v>1</v>
      </c>
    </row>
    <row r="258" spans="3:28" ht="16.5" thickBot="1">
      <c r="C258" s="8">
        <f>IF(J259=0,0,+IF(C262&gt;4*G260,4*G260,+C262))</f>
        <v>36</v>
      </c>
      <c r="D258" s="8">
        <f>+J262</f>
        <v>0</v>
      </c>
      <c r="E258" s="8">
        <f>IF(K259=0,0,+IF(C262&gt;4*G260,4*G260,+C262))</f>
        <v>36</v>
      </c>
      <c r="H258" s="96"/>
      <c r="I258" s="96"/>
      <c r="J258" s="98" t="s">
        <v>14</v>
      </c>
      <c r="K258" s="98" t="s">
        <v>15</v>
      </c>
      <c r="L258" s="96"/>
      <c r="M258" s="96"/>
      <c r="N258" s="96"/>
      <c r="O258" s="97"/>
      <c r="P258" s="97"/>
      <c r="Q258" s="97"/>
      <c r="R258" s="97"/>
      <c r="S258" s="97"/>
      <c r="T258" s="97"/>
      <c r="U258" s="97"/>
      <c r="V258" s="96"/>
      <c r="W258" s="37" t="s">
        <v>63</v>
      </c>
      <c r="X258" s="36">
        <f>+J266</f>
        <v>0.18461538461538463</v>
      </c>
      <c r="AA258">
        <f>+$G$11</f>
        <v>1</v>
      </c>
      <c r="AB258">
        <f>IF(AA258=1,1,+IF(X258&gt;=0.8,1,1.1))</f>
        <v>1</v>
      </c>
    </row>
    <row r="259" spans="1:28" ht="16.5" thickBot="1">
      <c r="A259" s="1">
        <f>+J261</f>
        <v>0</v>
      </c>
      <c r="D259" s="18"/>
      <c r="H259" s="96" t="s">
        <v>13</v>
      </c>
      <c r="I259" s="96"/>
      <c r="J259" s="95">
        <f>+$E$11*100</f>
        <v>330</v>
      </c>
      <c r="K259" s="95">
        <f>+$E$7*100</f>
        <v>450</v>
      </c>
      <c r="L259" s="96" t="s">
        <v>3</v>
      </c>
      <c r="M259" s="96"/>
      <c r="N259" s="96"/>
      <c r="O259" s="99" t="s">
        <v>4</v>
      </c>
      <c r="P259" s="99" t="s">
        <v>5</v>
      </c>
      <c r="Q259" s="99" t="s">
        <v>6</v>
      </c>
      <c r="R259" s="99" t="s">
        <v>7</v>
      </c>
      <c r="S259" s="99" t="s">
        <v>8</v>
      </c>
      <c r="T259" s="99" t="s">
        <v>19</v>
      </c>
      <c r="U259" s="99" t="s">
        <v>20</v>
      </c>
      <c r="V259" s="100"/>
      <c r="W259" s="37" t="s">
        <v>64</v>
      </c>
      <c r="X259" s="36">
        <f>+J279</f>
        <v>0.18461538461538463</v>
      </c>
      <c r="AA259">
        <f>+$G$12</f>
        <v>1</v>
      </c>
      <c r="AB259">
        <f>IF(AA259=1,1,+IF(X259&gt;=0.8,1,1.1))</f>
        <v>1</v>
      </c>
    </row>
    <row r="260" spans="2:28" ht="17.25" thickBot="1" thickTop="1">
      <c r="B260" s="13"/>
      <c r="C260" s="9"/>
      <c r="D260" s="17"/>
      <c r="E260" s="10"/>
      <c r="F260" s="14"/>
      <c r="G260" s="7">
        <f>+J263</f>
        <v>14</v>
      </c>
      <c r="H260" s="96" t="s">
        <v>0</v>
      </c>
      <c r="I260" s="96"/>
      <c r="J260" s="95">
        <f>+$F$23</f>
        <v>50</v>
      </c>
      <c r="K260" s="96" t="s">
        <v>3</v>
      </c>
      <c r="L260" s="96"/>
      <c r="M260" s="96"/>
      <c r="N260" s="100" t="s">
        <v>24</v>
      </c>
      <c r="O260" s="100">
        <f>+D265</f>
        <v>0</v>
      </c>
      <c r="P260" s="100">
        <f>+C262</f>
        <v>36</v>
      </c>
      <c r="Q260" s="101">
        <f>+O260*P260</f>
        <v>0</v>
      </c>
      <c r="R260" s="102">
        <f>+G260+C262/2</f>
        <v>32</v>
      </c>
      <c r="S260" s="101">
        <f>+Q260*R260</f>
        <v>0</v>
      </c>
      <c r="T260" s="101">
        <f>+O260*(P260^3)/12</f>
        <v>0</v>
      </c>
      <c r="U260" s="101">
        <f>+Q260*(S264-R260)^2</f>
        <v>0</v>
      </c>
      <c r="V260" s="100"/>
      <c r="W260" s="37" t="s">
        <v>65</v>
      </c>
      <c r="X260" s="36">
        <f>+J292</f>
        <v>0.1425287356321839</v>
      </c>
      <c r="Y260" s="5" t="s">
        <v>51</v>
      </c>
      <c r="Z260" s="6">
        <f>SUM(X258:X261)/4</f>
        <v>0.15989863910233623</v>
      </c>
      <c r="AA260">
        <f>+$G$13</f>
        <v>1</v>
      </c>
      <c r="AB260">
        <f>IF(AA260=1,1,+IF(X260&gt;=0.8,1,1.1))</f>
        <v>1</v>
      </c>
    </row>
    <row r="261" spans="4:28" ht="15.75">
      <c r="D261" s="11"/>
      <c r="H261" s="96" t="s">
        <v>18</v>
      </c>
      <c r="I261" s="96"/>
      <c r="J261" s="95">
        <f>+$H$23</f>
        <v>0</v>
      </c>
      <c r="K261" s="96" t="s">
        <v>3</v>
      </c>
      <c r="L261" s="96"/>
      <c r="M261" s="96"/>
      <c r="N261" s="100" t="s">
        <v>23</v>
      </c>
      <c r="O261" s="100">
        <f>+D265</f>
        <v>0</v>
      </c>
      <c r="P261" s="100">
        <f>+A259</f>
        <v>0</v>
      </c>
      <c r="Q261" s="101">
        <f>+O261*P261</f>
        <v>0</v>
      </c>
      <c r="R261" s="102">
        <f>-A259/2</f>
        <v>0</v>
      </c>
      <c r="S261" s="101">
        <f>+Q261*R261</f>
        <v>0</v>
      </c>
      <c r="T261" s="101">
        <f>+O261*(P261^3)/12</f>
        <v>0</v>
      </c>
      <c r="U261" s="101">
        <f>+Q261*(S264-R261)^2</f>
        <v>0</v>
      </c>
      <c r="V261" s="100"/>
      <c r="W261" s="37" t="s">
        <v>66</v>
      </c>
      <c r="X261" s="36">
        <f>+J305</f>
        <v>0.12783505154639177</v>
      </c>
      <c r="AA261">
        <f>+$G$14</f>
        <v>1</v>
      </c>
      <c r="AB261">
        <f>IF(AA261=1,1,+IF(X261&gt;=0.8,1,1.1))</f>
        <v>1</v>
      </c>
    </row>
    <row r="262" spans="1:28" ht="12.75">
      <c r="A262" s="1">
        <f>+J260-J261</f>
        <v>50</v>
      </c>
      <c r="C262" s="1">
        <f>+A262-G260</f>
        <v>36</v>
      </c>
      <c r="D262" s="11"/>
      <c r="H262" s="96" t="s">
        <v>1</v>
      </c>
      <c r="I262" s="96"/>
      <c r="J262" s="95">
        <f>+$E$23</f>
        <v>0</v>
      </c>
      <c r="K262" s="96" t="s">
        <v>3</v>
      </c>
      <c r="L262" s="96"/>
      <c r="M262" s="96"/>
      <c r="N262" s="100" t="s">
        <v>22</v>
      </c>
      <c r="O262" s="100">
        <f>+C257</f>
        <v>72</v>
      </c>
      <c r="P262" s="100">
        <f>+G260</f>
        <v>14</v>
      </c>
      <c r="Q262" s="101">
        <f>+O262*P262</f>
        <v>1008</v>
      </c>
      <c r="R262" s="102">
        <f>+G260/2</f>
        <v>7</v>
      </c>
      <c r="S262" s="101">
        <f>+Q262*R262</f>
        <v>7056</v>
      </c>
      <c r="T262" s="101">
        <f>+O262*(P262^3)/12</f>
        <v>16464</v>
      </c>
      <c r="U262" s="101">
        <f>+Q262*(S264-R262)^2</f>
        <v>0</v>
      </c>
      <c r="V262" s="100"/>
      <c r="X262" s="19"/>
      <c r="Y262" s="19"/>
      <c r="Z262" s="19"/>
      <c r="AA262" s="96"/>
      <c r="AB262" s="96"/>
    </row>
    <row r="263" spans="4:28" ht="12.75">
      <c r="D263" s="11"/>
      <c r="H263" s="96" t="s">
        <v>2</v>
      </c>
      <c r="I263" s="96"/>
      <c r="J263" s="95">
        <f>+$Y203</f>
        <v>14</v>
      </c>
      <c r="K263" s="96" t="s">
        <v>3</v>
      </c>
      <c r="L263" s="96"/>
      <c r="M263" s="96"/>
      <c r="N263" s="100"/>
      <c r="O263" s="100"/>
      <c r="P263" s="100"/>
      <c r="Q263" s="103">
        <f>SUM(Q260:Q262)</f>
        <v>1008</v>
      </c>
      <c r="R263" s="100"/>
      <c r="S263" s="103">
        <f>SUM(S260:S262)</f>
        <v>7056</v>
      </c>
      <c r="T263" s="103">
        <f>SUM(T260:T262)</f>
        <v>16464</v>
      </c>
      <c r="U263" s="103">
        <f>SUM(U260:U262)</f>
        <v>0</v>
      </c>
      <c r="V263" s="100"/>
      <c r="W263" s="47" t="s">
        <v>73</v>
      </c>
      <c r="X263" s="47" t="s">
        <v>74</v>
      </c>
      <c r="Y263" s="47" t="s">
        <v>75</v>
      </c>
      <c r="Z263" s="19"/>
      <c r="AA263" s="96"/>
      <c r="AB263" s="96"/>
    </row>
    <row r="264" spans="4:28" ht="13.5" thickBot="1">
      <c r="D264" s="12"/>
      <c r="H264" s="96" t="s">
        <v>10</v>
      </c>
      <c r="I264" s="96"/>
      <c r="J264" s="104">
        <f>+T263+U263</f>
        <v>16464</v>
      </c>
      <c r="K264" s="96" t="s">
        <v>11</v>
      </c>
      <c r="L264" s="96"/>
      <c r="M264" s="96"/>
      <c r="N264" s="100"/>
      <c r="O264" s="100"/>
      <c r="P264" s="100"/>
      <c r="Q264" s="100"/>
      <c r="R264" s="99" t="s">
        <v>9</v>
      </c>
      <c r="S264" s="102">
        <f>+S263/Q263</f>
        <v>7</v>
      </c>
      <c r="T264" s="100"/>
      <c r="U264" s="100"/>
      <c r="V264" s="100"/>
      <c r="W264" s="42">
        <f>$E$39/$AA$3*100</f>
        <v>14.242424242424242</v>
      </c>
      <c r="X264" s="42">
        <f>(+$E$39*100*(0.8+$H$6/200000))/(36+5*$E$38*(Z260-0.2))</f>
        <v>14.505274406056218</v>
      </c>
      <c r="Y264" s="42">
        <f>(+$E$39*100*(0.8+$H$6/200000))/(36+9*$E$38)</f>
        <v>11.435070702643172</v>
      </c>
      <c r="Z264" s="19"/>
      <c r="AA264" s="96"/>
      <c r="AB264" s="96"/>
    </row>
    <row r="265" spans="4:28" ht="13.5" thickBot="1">
      <c r="D265" s="1">
        <f>+J262</f>
        <v>0</v>
      </c>
      <c r="H265" s="96" t="s">
        <v>12</v>
      </c>
      <c r="I265" s="96"/>
      <c r="J265" s="104">
        <f>+T265</f>
        <v>89180</v>
      </c>
      <c r="K265" s="96" t="s">
        <v>11</v>
      </c>
      <c r="L265" s="96"/>
      <c r="M265" s="96"/>
      <c r="N265" s="100" t="s">
        <v>21</v>
      </c>
      <c r="O265" s="100">
        <f>+B256</f>
        <v>390</v>
      </c>
      <c r="P265" s="100">
        <f>+J263</f>
        <v>14</v>
      </c>
      <c r="Q265" s="101">
        <f>+O265*P265</f>
        <v>5460</v>
      </c>
      <c r="R265" s="102"/>
      <c r="S265" s="101"/>
      <c r="T265" s="101">
        <f>+O265*(P265^3)/12</f>
        <v>89180</v>
      </c>
      <c r="U265" s="100"/>
      <c r="V265" s="100"/>
      <c r="W265" s="41">
        <f>INT(W264)</f>
        <v>14</v>
      </c>
      <c r="X265" s="41">
        <f>INT(X264)</f>
        <v>14</v>
      </c>
      <c r="Y265" s="41">
        <f>INT(Y264)</f>
        <v>11</v>
      </c>
      <c r="Z265" s="19"/>
      <c r="AA265" s="96"/>
      <c r="AB265" s="96"/>
    </row>
    <row r="266" spans="8:28" ht="17.25" thickBot="1" thickTop="1">
      <c r="H266" s="96"/>
      <c r="I266" s="105" t="s">
        <v>99</v>
      </c>
      <c r="J266" s="106">
        <f>IF(J260=0,0,+J264/J265)</f>
        <v>0.18461538461538463</v>
      </c>
      <c r="K266" s="96"/>
      <c r="L266" s="96"/>
      <c r="M266" s="96"/>
      <c r="N266" s="96"/>
      <c r="O266" s="97"/>
      <c r="P266" s="97"/>
      <c r="Q266" s="97"/>
      <c r="R266" s="97"/>
      <c r="S266" s="97"/>
      <c r="T266" s="97"/>
      <c r="U266" s="97"/>
      <c r="V266" s="96"/>
      <c r="W266" s="42">
        <f>+W264-W265</f>
        <v>0.2424242424242422</v>
      </c>
      <c r="X266" s="42">
        <f>+X264-X265</f>
        <v>0.505274406056218</v>
      </c>
      <c r="Y266" s="42">
        <f>+Y264-Y265</f>
        <v>0.4350707026431717</v>
      </c>
      <c r="Z266" s="19"/>
      <c r="AA266" s="96"/>
      <c r="AB266" s="96"/>
    </row>
    <row r="267" spans="1:28" ht="15" thickTop="1">
      <c r="A267" s="25"/>
      <c r="B267" s="25"/>
      <c r="C267" s="25"/>
      <c r="D267" s="25"/>
      <c r="E267" s="25"/>
      <c r="F267" s="25"/>
      <c r="G267" s="25"/>
      <c r="H267" s="107" t="s">
        <v>100</v>
      </c>
      <c r="I267" s="108"/>
      <c r="J267" s="108"/>
      <c r="K267" s="108"/>
      <c r="L267" s="108"/>
      <c r="M267" s="108"/>
      <c r="N267" s="108"/>
      <c r="O267" s="109"/>
      <c r="P267" s="109"/>
      <c r="Q267" s="109"/>
      <c r="R267" s="109"/>
      <c r="S267" s="109"/>
      <c r="T267" s="109"/>
      <c r="U267" s="109"/>
      <c r="V267" s="108"/>
      <c r="W267" s="48">
        <f>IF(W266&gt;0.39,+W265+1,+W265)</f>
        <v>14</v>
      </c>
      <c r="X267" s="48">
        <f>IF(X266&gt;0.39,+X265+1,+X265)</f>
        <v>15</v>
      </c>
      <c r="Y267" s="48">
        <f>IF(Y266&gt;0.39,+Y265+1,+Y265)</f>
        <v>12</v>
      </c>
      <c r="Z267" s="19"/>
      <c r="AA267" s="96"/>
      <c r="AB267" s="96"/>
    </row>
    <row r="268" spans="8:28" ht="12.75">
      <c r="H268" s="96"/>
      <c r="I268" s="96"/>
      <c r="J268" s="96"/>
      <c r="K268" s="96"/>
      <c r="L268" s="96"/>
      <c r="M268" s="96"/>
      <c r="N268" s="96"/>
      <c r="O268" s="97"/>
      <c r="P268" s="97"/>
      <c r="Q268" s="97"/>
      <c r="R268" s="97"/>
      <c r="S268" s="97"/>
      <c r="T268" s="97"/>
      <c r="U268" s="97"/>
      <c r="V268" s="96"/>
      <c r="W268" s="41">
        <f>5*2.54</f>
        <v>12.7</v>
      </c>
      <c r="X268" s="41">
        <f>5*2.54</f>
        <v>12.7</v>
      </c>
      <c r="Y268" s="41">
        <f>3.5*2.54</f>
        <v>8.89</v>
      </c>
      <c r="Z268" s="19"/>
      <c r="AA268" s="96"/>
      <c r="AB268" s="96"/>
    </row>
    <row r="269" spans="2:28" ht="12.75">
      <c r="B269" s="122">
        <f>IF(J272=0,+K272/2+D271/2,+IF(K272=0,+J272/2+D271/2,+(J272+K272)/2))</f>
        <v>390</v>
      </c>
      <c r="C269" s="122"/>
      <c r="D269" s="122"/>
      <c r="E269" s="122"/>
      <c r="F269" s="122"/>
      <c r="H269" s="96"/>
      <c r="I269" s="96"/>
      <c r="J269" s="96"/>
      <c r="K269" s="96"/>
      <c r="L269" s="96"/>
      <c r="M269" s="96"/>
      <c r="N269" s="96"/>
      <c r="O269" s="97"/>
      <c r="P269" s="97"/>
      <c r="Q269" s="97"/>
      <c r="R269" s="97"/>
      <c r="S269" s="97"/>
      <c r="T269" s="97"/>
      <c r="U269" s="97"/>
      <c r="V269" s="96"/>
      <c r="W269" s="48">
        <f>IF(W267&lt;W268,+ROUND(W268,0),+W267)</f>
        <v>14</v>
      </c>
      <c r="X269" s="48">
        <f>IF(X267&lt;X268,+ROUND(X268,0),+X267)</f>
        <v>15</v>
      </c>
      <c r="Y269" s="48">
        <f>IF(Y267&lt;Y268,+ROUND(Y268,0),+Y267)</f>
        <v>12</v>
      </c>
      <c r="Z269" s="19"/>
      <c r="AA269" s="96"/>
      <c r="AB269" s="96"/>
    </row>
    <row r="270" spans="3:28" ht="12.75">
      <c r="C270" s="122">
        <f>SUM(C271:E271)</f>
        <v>72</v>
      </c>
      <c r="D270" s="122"/>
      <c r="E270" s="122"/>
      <c r="H270" s="95" t="s">
        <v>31</v>
      </c>
      <c r="I270" s="96"/>
      <c r="J270" s="96"/>
      <c r="K270" s="96"/>
      <c r="L270" s="96"/>
      <c r="M270" s="96"/>
      <c r="N270" s="96"/>
      <c r="O270" s="97"/>
      <c r="P270" s="97"/>
      <c r="Q270" s="97"/>
      <c r="R270" s="97"/>
      <c r="S270" s="97"/>
      <c r="T270" s="97"/>
      <c r="U270" s="97"/>
      <c r="V270" s="96"/>
      <c r="Z270" s="19"/>
      <c r="AA270" s="96"/>
      <c r="AB270" s="96"/>
    </row>
    <row r="271" spans="3:28" ht="13.5" thickBot="1">
      <c r="C271" s="8">
        <f>IF(J272=0,0,+IF(C275&gt;4*G273,4*G273,+C275))</f>
        <v>36</v>
      </c>
      <c r="D271" s="8">
        <f>+J275</f>
        <v>0</v>
      </c>
      <c r="E271" s="8">
        <f>IF(K272=0,0,+IF(C275&gt;4*G273,4*G273,+C275))</f>
        <v>36</v>
      </c>
      <c r="H271" s="96"/>
      <c r="I271" s="96"/>
      <c r="J271" s="98" t="s">
        <v>14</v>
      </c>
      <c r="K271" s="98" t="s">
        <v>15</v>
      </c>
      <c r="L271" s="96"/>
      <c r="M271" s="96"/>
      <c r="N271" s="96"/>
      <c r="O271" s="97"/>
      <c r="P271" s="97"/>
      <c r="Q271" s="97"/>
      <c r="R271" s="97"/>
      <c r="S271" s="97"/>
      <c r="T271" s="97"/>
      <c r="U271" s="97"/>
      <c r="V271" s="96"/>
      <c r="Z271" s="19"/>
      <c r="AA271" s="96"/>
      <c r="AB271" s="96"/>
    </row>
    <row r="272" spans="1:28" ht="13.5" thickBot="1">
      <c r="A272" s="1">
        <f>+J274</f>
        <v>0</v>
      </c>
      <c r="D272" s="18"/>
      <c r="H272" s="96" t="s">
        <v>13</v>
      </c>
      <c r="I272" s="96"/>
      <c r="J272" s="95">
        <f>+$E$7*100</f>
        <v>450</v>
      </c>
      <c r="K272" s="95">
        <f>+$E$12*100</f>
        <v>330</v>
      </c>
      <c r="L272" s="96" t="s">
        <v>3</v>
      </c>
      <c r="M272" s="96"/>
      <c r="N272" s="96"/>
      <c r="O272" s="99" t="s">
        <v>4</v>
      </c>
      <c r="P272" s="99" t="s">
        <v>5</v>
      </c>
      <c r="Q272" s="99" t="s">
        <v>6</v>
      </c>
      <c r="R272" s="99" t="s">
        <v>7</v>
      </c>
      <c r="S272" s="99" t="s">
        <v>8</v>
      </c>
      <c r="T272" s="99" t="s">
        <v>19</v>
      </c>
      <c r="U272" s="99" t="s">
        <v>20</v>
      </c>
      <c r="V272" s="100"/>
      <c r="Z272" s="19"/>
      <c r="AA272" s="96"/>
      <c r="AB272" s="96"/>
    </row>
    <row r="273" spans="2:28" ht="13.5" thickBot="1">
      <c r="B273" s="13"/>
      <c r="C273" s="9"/>
      <c r="D273" s="17"/>
      <c r="E273" s="10"/>
      <c r="F273" s="14"/>
      <c r="G273" s="7">
        <f>+J276</f>
        <v>14</v>
      </c>
      <c r="H273" s="96" t="s">
        <v>0</v>
      </c>
      <c r="I273" s="96"/>
      <c r="J273" s="95">
        <f>+$F$24</f>
        <v>50</v>
      </c>
      <c r="K273" s="96" t="s">
        <v>3</v>
      </c>
      <c r="L273" s="96"/>
      <c r="M273" s="96"/>
      <c r="N273" s="100" t="s">
        <v>24</v>
      </c>
      <c r="O273" s="100">
        <f>+D278</f>
        <v>0</v>
      </c>
      <c r="P273" s="100">
        <f>+C275</f>
        <v>36</v>
      </c>
      <c r="Q273" s="101">
        <f>+O273*P273</f>
        <v>0</v>
      </c>
      <c r="R273" s="102">
        <f>+G273+C275/2</f>
        <v>32</v>
      </c>
      <c r="S273" s="101">
        <f>+Q273*R273</f>
        <v>0</v>
      </c>
      <c r="T273" s="101">
        <f>+O273*(P273^3)/12</f>
        <v>0</v>
      </c>
      <c r="U273" s="101">
        <f>+Q273*(S277-R273)^2</f>
        <v>0</v>
      </c>
      <c r="V273" s="100"/>
      <c r="Z273" s="19"/>
      <c r="AA273" s="96"/>
      <c r="AB273" s="96"/>
    </row>
    <row r="274" spans="4:28" ht="12.75">
      <c r="D274" s="11"/>
      <c r="H274" s="96" t="s">
        <v>18</v>
      </c>
      <c r="I274" s="96"/>
      <c r="J274" s="95">
        <f>+$H$24</f>
        <v>0</v>
      </c>
      <c r="K274" s="96" t="s">
        <v>3</v>
      </c>
      <c r="L274" s="96"/>
      <c r="M274" s="96"/>
      <c r="N274" s="100" t="s">
        <v>23</v>
      </c>
      <c r="O274" s="100">
        <f>+D278</f>
        <v>0</v>
      </c>
      <c r="P274" s="100">
        <f>+A272</f>
        <v>0</v>
      </c>
      <c r="Q274" s="101">
        <f>+O274*P274</f>
        <v>0</v>
      </c>
      <c r="R274" s="102">
        <f>-A272/2</f>
        <v>0</v>
      </c>
      <c r="S274" s="101">
        <f>+Q274*R274</f>
        <v>0</v>
      </c>
      <c r="T274" s="101">
        <f>+O274*(P274^3)/12</f>
        <v>0</v>
      </c>
      <c r="U274" s="101">
        <f>+Q274*(S277-R274)^2</f>
        <v>0</v>
      </c>
      <c r="V274" s="100"/>
      <c r="Z274" s="19"/>
      <c r="AA274" s="96"/>
      <c r="AB274" s="96"/>
    </row>
    <row r="275" spans="1:28" ht="12.75">
      <c r="A275" s="1">
        <f>+J273-J274</f>
        <v>50</v>
      </c>
      <c r="C275" s="1">
        <f>+A275-G273</f>
        <v>36</v>
      </c>
      <c r="D275" s="11"/>
      <c r="H275" s="96" t="s">
        <v>1</v>
      </c>
      <c r="I275" s="96"/>
      <c r="J275" s="95">
        <f>+$E$24</f>
        <v>0</v>
      </c>
      <c r="K275" s="96" t="s">
        <v>3</v>
      </c>
      <c r="L275" s="96"/>
      <c r="M275" s="96"/>
      <c r="N275" s="100" t="s">
        <v>22</v>
      </c>
      <c r="O275" s="100">
        <f>+C270</f>
        <v>72</v>
      </c>
      <c r="P275" s="100">
        <f>+G273</f>
        <v>14</v>
      </c>
      <c r="Q275" s="101">
        <f>+O275*P275</f>
        <v>1008</v>
      </c>
      <c r="R275" s="102">
        <f>+G273/2</f>
        <v>7</v>
      </c>
      <c r="S275" s="101">
        <f>+Q275*R275</f>
        <v>7056</v>
      </c>
      <c r="T275" s="101">
        <f>+O275*(P275^3)/12</f>
        <v>16464</v>
      </c>
      <c r="U275" s="101">
        <f>+Q275*(S277-R275)^2</f>
        <v>0</v>
      </c>
      <c r="V275" s="100"/>
      <c r="W275" s="96"/>
      <c r="X275" s="96"/>
      <c r="Y275" s="96"/>
      <c r="Z275" s="96"/>
      <c r="AA275" s="96"/>
      <c r="AB275" s="96"/>
    </row>
    <row r="276" spans="4:28" ht="12.75">
      <c r="D276" s="11"/>
      <c r="H276" s="96" t="s">
        <v>2</v>
      </c>
      <c r="I276" s="96"/>
      <c r="J276" s="95">
        <f>+$Y203</f>
        <v>14</v>
      </c>
      <c r="K276" s="96" t="s">
        <v>3</v>
      </c>
      <c r="L276" s="96"/>
      <c r="M276" s="96"/>
      <c r="N276" s="100"/>
      <c r="O276" s="100"/>
      <c r="P276" s="100"/>
      <c r="Q276" s="103">
        <f>SUM(Q273:Q275)</f>
        <v>1008</v>
      </c>
      <c r="R276" s="100"/>
      <c r="S276" s="103">
        <f>SUM(S273:S275)</f>
        <v>7056</v>
      </c>
      <c r="T276" s="103">
        <f>SUM(T273:T275)</f>
        <v>16464</v>
      </c>
      <c r="U276" s="103">
        <f>SUM(U273:U275)</f>
        <v>0</v>
      </c>
      <c r="V276" s="100"/>
      <c r="W276" s="96"/>
      <c r="X276" s="96"/>
      <c r="Y276" s="96"/>
      <c r="Z276" s="96"/>
      <c r="AA276" s="96"/>
      <c r="AB276" s="96"/>
    </row>
    <row r="277" spans="4:28" ht="13.5" thickBot="1">
      <c r="D277" s="12"/>
      <c r="H277" s="96" t="s">
        <v>10</v>
      </c>
      <c r="I277" s="96"/>
      <c r="J277" s="104">
        <f>+T276+U276</f>
        <v>16464</v>
      </c>
      <c r="K277" s="96" t="s">
        <v>11</v>
      </c>
      <c r="L277" s="96"/>
      <c r="M277" s="96"/>
      <c r="N277" s="100"/>
      <c r="O277" s="100"/>
      <c r="P277" s="100"/>
      <c r="Q277" s="100"/>
      <c r="R277" s="99" t="s">
        <v>9</v>
      </c>
      <c r="S277" s="102">
        <f>+S276/Q276</f>
        <v>7</v>
      </c>
      <c r="T277" s="100"/>
      <c r="U277" s="100"/>
      <c r="V277" s="100"/>
      <c r="W277" s="96"/>
      <c r="X277" s="96"/>
      <c r="Y277" s="96"/>
      <c r="Z277" s="96"/>
      <c r="AA277" s="96"/>
      <c r="AB277" s="96"/>
    </row>
    <row r="278" spans="4:28" ht="13.5" thickBot="1">
      <c r="D278" s="1">
        <f>+J275</f>
        <v>0</v>
      </c>
      <c r="H278" s="96" t="s">
        <v>12</v>
      </c>
      <c r="I278" s="96"/>
      <c r="J278" s="104">
        <f>+T278</f>
        <v>89180</v>
      </c>
      <c r="K278" s="96" t="s">
        <v>11</v>
      </c>
      <c r="L278" s="96"/>
      <c r="M278" s="96"/>
      <c r="N278" s="100" t="s">
        <v>21</v>
      </c>
      <c r="O278" s="100">
        <f>+B269</f>
        <v>390</v>
      </c>
      <c r="P278" s="100">
        <f>+J276</f>
        <v>14</v>
      </c>
      <c r="Q278" s="101">
        <f>+O278*P278</f>
        <v>5460</v>
      </c>
      <c r="R278" s="102"/>
      <c r="S278" s="101"/>
      <c r="T278" s="101">
        <f>+O278*(P278^3)/12</f>
        <v>89180</v>
      </c>
      <c r="U278" s="100"/>
      <c r="V278" s="100"/>
      <c r="W278" s="96"/>
      <c r="X278" s="96"/>
      <c r="Y278" s="96"/>
      <c r="Z278" s="96"/>
      <c r="AA278" s="96"/>
      <c r="AB278" s="96"/>
    </row>
    <row r="279" spans="8:28" ht="17.25" thickBot="1" thickTop="1">
      <c r="H279" s="96"/>
      <c r="I279" s="105" t="s">
        <v>101</v>
      </c>
      <c r="J279" s="106">
        <f>IF(J273=0,0,+J277/J278)</f>
        <v>0.18461538461538463</v>
      </c>
      <c r="K279" s="96"/>
      <c r="L279" s="96"/>
      <c r="M279" s="96"/>
      <c r="N279" s="96"/>
      <c r="O279" s="97"/>
      <c r="P279" s="97"/>
      <c r="Q279" s="97"/>
      <c r="R279" s="97"/>
      <c r="S279" s="97"/>
      <c r="T279" s="97"/>
      <c r="U279" s="97"/>
      <c r="V279" s="96"/>
      <c r="W279" s="96"/>
      <c r="X279" s="96"/>
      <c r="Y279" s="96"/>
      <c r="Z279" s="96"/>
      <c r="AA279" s="96"/>
      <c r="AB279" s="96"/>
    </row>
    <row r="280" spans="1:28" ht="15" thickTop="1">
      <c r="A280" s="25"/>
      <c r="B280" s="25"/>
      <c r="C280" s="25"/>
      <c r="D280" s="25"/>
      <c r="E280" s="25"/>
      <c r="F280" s="25"/>
      <c r="G280" s="25"/>
      <c r="H280" s="107" t="s">
        <v>100</v>
      </c>
      <c r="I280" s="108"/>
      <c r="J280" s="108"/>
      <c r="K280" s="108"/>
      <c r="L280" s="108"/>
      <c r="M280" s="108"/>
      <c r="N280" s="108"/>
      <c r="O280" s="109"/>
      <c r="P280" s="109"/>
      <c r="Q280" s="109"/>
      <c r="R280" s="109"/>
      <c r="S280" s="109"/>
      <c r="T280" s="109"/>
      <c r="U280" s="109"/>
      <c r="V280" s="108"/>
      <c r="W280" s="96"/>
      <c r="X280" s="96"/>
      <c r="Y280" s="96"/>
      <c r="Z280" s="96"/>
      <c r="AA280" s="96"/>
      <c r="AB280" s="96"/>
    </row>
    <row r="281" spans="8:28" ht="12.75">
      <c r="H281" s="96"/>
      <c r="I281" s="96"/>
      <c r="J281" s="96"/>
      <c r="K281" s="96"/>
      <c r="L281" s="96"/>
      <c r="M281" s="96"/>
      <c r="N281" s="96"/>
      <c r="O281" s="97"/>
      <c r="P281" s="97"/>
      <c r="Q281" s="97"/>
      <c r="R281" s="97"/>
      <c r="S281" s="97"/>
      <c r="T281" s="97"/>
      <c r="U281" s="97"/>
      <c r="V281" s="96"/>
      <c r="W281" s="96"/>
      <c r="X281" s="96"/>
      <c r="Y281" s="96"/>
      <c r="Z281" s="96"/>
      <c r="AA281" s="96"/>
      <c r="AB281" s="96"/>
    </row>
    <row r="282" spans="2:28" ht="12.75">
      <c r="B282" s="122">
        <f>IF(J285=0,+K285/2+D284/2,+IF(K285=0,+J285/2+D284/2,+(J285+K285)/2))</f>
        <v>435</v>
      </c>
      <c r="C282" s="122"/>
      <c r="D282" s="122"/>
      <c r="E282" s="122"/>
      <c r="F282" s="122"/>
      <c r="H282" s="96"/>
      <c r="I282" s="96"/>
      <c r="J282" s="96"/>
      <c r="K282" s="96"/>
      <c r="L282" s="96"/>
      <c r="M282" s="96"/>
      <c r="N282" s="96"/>
      <c r="O282" s="97"/>
      <c r="P282" s="97"/>
      <c r="Q282" s="97"/>
      <c r="R282" s="97"/>
      <c r="S282" s="97"/>
      <c r="T282" s="97"/>
      <c r="U282" s="97"/>
      <c r="V282" s="96"/>
      <c r="W282" s="96"/>
      <c r="X282" s="96"/>
      <c r="Y282" s="96"/>
      <c r="Z282" s="96"/>
      <c r="AA282" s="96"/>
      <c r="AB282" s="96"/>
    </row>
    <row r="283" spans="3:28" ht="12.75">
      <c r="C283" s="122">
        <f>SUM(C284:E284)</f>
        <v>62</v>
      </c>
      <c r="D283" s="122"/>
      <c r="E283" s="122"/>
      <c r="H283" s="95" t="s">
        <v>32</v>
      </c>
      <c r="I283" s="96"/>
      <c r="J283" s="96"/>
      <c r="K283" s="96"/>
      <c r="L283" s="96"/>
      <c r="M283" s="96"/>
      <c r="N283" s="96"/>
      <c r="O283" s="97"/>
      <c r="P283" s="97"/>
      <c r="Q283" s="97"/>
      <c r="R283" s="97"/>
      <c r="S283" s="97"/>
      <c r="T283" s="97"/>
      <c r="U283" s="97"/>
      <c r="V283" s="96"/>
      <c r="W283" s="96"/>
      <c r="X283" s="96"/>
      <c r="Y283" s="96"/>
      <c r="Z283" s="96"/>
      <c r="AA283" s="96"/>
      <c r="AB283" s="96"/>
    </row>
    <row r="284" spans="3:28" ht="13.5" thickBot="1">
      <c r="C284" s="8">
        <f>IF(J285=0,0,+IF(C288&gt;4*G286,4*G286,+C288))</f>
        <v>31</v>
      </c>
      <c r="D284" s="8">
        <f>+J288</f>
        <v>0</v>
      </c>
      <c r="E284" s="8">
        <f>IF(K285=0,0,+IF(C288&gt;4*G286,4*G286,+C288))</f>
        <v>31</v>
      </c>
      <c r="H284" s="96"/>
      <c r="I284" s="96"/>
      <c r="J284" s="98" t="s">
        <v>14</v>
      </c>
      <c r="K284" s="98" t="s">
        <v>15</v>
      </c>
      <c r="L284" s="96"/>
      <c r="M284" s="96"/>
      <c r="N284" s="96"/>
      <c r="O284" s="97"/>
      <c r="P284" s="97"/>
      <c r="Q284" s="97"/>
      <c r="R284" s="97"/>
      <c r="S284" s="97"/>
      <c r="T284" s="97"/>
      <c r="U284" s="97"/>
      <c r="V284" s="96"/>
      <c r="W284" s="96"/>
      <c r="X284" s="96"/>
      <c r="Y284" s="96"/>
      <c r="Z284" s="96"/>
      <c r="AA284" s="96"/>
      <c r="AB284" s="96"/>
    </row>
    <row r="285" spans="1:28" ht="13.5" thickBot="1">
      <c r="A285" s="1">
        <f>+J287</f>
        <v>0</v>
      </c>
      <c r="D285" s="18"/>
      <c r="H285" s="96" t="s">
        <v>13</v>
      </c>
      <c r="I285" s="96"/>
      <c r="J285" s="95">
        <f>+$E$13*100</f>
        <v>400</v>
      </c>
      <c r="K285" s="95">
        <f>+$E$8*100</f>
        <v>470</v>
      </c>
      <c r="L285" s="96" t="s">
        <v>3</v>
      </c>
      <c r="M285" s="96"/>
      <c r="N285" s="96"/>
      <c r="O285" s="99" t="s">
        <v>4</v>
      </c>
      <c r="P285" s="99" t="s">
        <v>5</v>
      </c>
      <c r="Q285" s="99" t="s">
        <v>6</v>
      </c>
      <c r="R285" s="99" t="s">
        <v>7</v>
      </c>
      <c r="S285" s="99" t="s">
        <v>8</v>
      </c>
      <c r="T285" s="99" t="s">
        <v>19</v>
      </c>
      <c r="U285" s="99" t="s">
        <v>20</v>
      </c>
      <c r="V285" s="100"/>
      <c r="W285" s="96"/>
      <c r="X285" s="96"/>
      <c r="Y285" s="96"/>
      <c r="Z285" s="96"/>
      <c r="AA285" s="96"/>
      <c r="AB285" s="96"/>
    </row>
    <row r="286" spans="2:28" ht="13.5" thickBot="1">
      <c r="B286" s="13"/>
      <c r="C286" s="9"/>
      <c r="D286" s="17"/>
      <c r="E286" s="10"/>
      <c r="F286" s="14"/>
      <c r="G286" s="7">
        <f>+J289</f>
        <v>14</v>
      </c>
      <c r="H286" s="96" t="s">
        <v>0</v>
      </c>
      <c r="I286" s="96"/>
      <c r="J286" s="95">
        <f>+$F$25</f>
        <v>45</v>
      </c>
      <c r="K286" s="96" t="s">
        <v>3</v>
      </c>
      <c r="L286" s="96"/>
      <c r="M286" s="96"/>
      <c r="N286" s="100" t="s">
        <v>24</v>
      </c>
      <c r="O286" s="100">
        <f>+D291</f>
        <v>0</v>
      </c>
      <c r="P286" s="100">
        <f>+C288</f>
        <v>31</v>
      </c>
      <c r="Q286" s="101">
        <f>+O286*P286</f>
        <v>0</v>
      </c>
      <c r="R286" s="102">
        <f>+G286+C288/2</f>
        <v>29.5</v>
      </c>
      <c r="S286" s="101">
        <f>+Q286*R286</f>
        <v>0</v>
      </c>
      <c r="T286" s="101">
        <f>+O286*(P286^3)/12</f>
        <v>0</v>
      </c>
      <c r="U286" s="101">
        <f>+Q286*(S290-R286)^2</f>
        <v>0</v>
      </c>
      <c r="V286" s="100"/>
      <c r="W286" s="96"/>
      <c r="X286" s="96"/>
      <c r="Y286" s="96"/>
      <c r="Z286" s="96"/>
      <c r="AA286" s="96"/>
      <c r="AB286" s="96"/>
    </row>
    <row r="287" spans="4:28" ht="12.75">
      <c r="D287" s="11"/>
      <c r="H287" s="96" t="s">
        <v>18</v>
      </c>
      <c r="I287" s="96"/>
      <c r="J287" s="95">
        <f>+$H$25</f>
        <v>0</v>
      </c>
      <c r="K287" s="96" t="s">
        <v>3</v>
      </c>
      <c r="L287" s="96"/>
      <c r="M287" s="96"/>
      <c r="N287" s="100" t="s">
        <v>23</v>
      </c>
      <c r="O287" s="100">
        <f>+D291</f>
        <v>0</v>
      </c>
      <c r="P287" s="100">
        <f>+A285</f>
        <v>0</v>
      </c>
      <c r="Q287" s="101">
        <f>+O287*P287</f>
        <v>0</v>
      </c>
      <c r="R287" s="102">
        <f>-A285/2</f>
        <v>0</v>
      </c>
      <c r="S287" s="101">
        <f>+Q287*R287</f>
        <v>0</v>
      </c>
      <c r="T287" s="101">
        <f>+O287*(P287^3)/12</f>
        <v>0</v>
      </c>
      <c r="U287" s="101">
        <f>+Q287*(S290-R287)^2</f>
        <v>0</v>
      </c>
      <c r="V287" s="100"/>
      <c r="W287" s="96"/>
      <c r="X287" s="96"/>
      <c r="Y287" s="96"/>
      <c r="Z287" s="96"/>
      <c r="AA287" s="96"/>
      <c r="AB287" s="96"/>
    </row>
    <row r="288" spans="1:28" ht="12.75">
      <c r="A288" s="1">
        <f>+J286-J287</f>
        <v>45</v>
      </c>
      <c r="C288" s="1">
        <f>+A288-G286</f>
        <v>31</v>
      </c>
      <c r="D288" s="11"/>
      <c r="H288" s="96" t="s">
        <v>1</v>
      </c>
      <c r="I288" s="96"/>
      <c r="J288" s="95">
        <f>+$E$25</f>
        <v>0</v>
      </c>
      <c r="K288" s="96" t="s">
        <v>3</v>
      </c>
      <c r="L288" s="96"/>
      <c r="M288" s="96"/>
      <c r="N288" s="100" t="s">
        <v>22</v>
      </c>
      <c r="O288" s="100">
        <f>+C283</f>
        <v>62</v>
      </c>
      <c r="P288" s="100">
        <f>+G286</f>
        <v>14</v>
      </c>
      <c r="Q288" s="101">
        <f>+O288*P288</f>
        <v>868</v>
      </c>
      <c r="R288" s="102">
        <f>+G286/2</f>
        <v>7</v>
      </c>
      <c r="S288" s="101">
        <f>+Q288*R288</f>
        <v>6076</v>
      </c>
      <c r="T288" s="101">
        <f>+O288*(P288^3)/12</f>
        <v>14177.333333333334</v>
      </c>
      <c r="U288" s="101">
        <f>+Q288*(S290-R288)^2</f>
        <v>0</v>
      </c>
      <c r="V288" s="100"/>
      <c r="W288" s="96"/>
      <c r="X288" s="96"/>
      <c r="Y288" s="96"/>
      <c r="Z288" s="96"/>
      <c r="AA288" s="96"/>
      <c r="AB288" s="96"/>
    </row>
    <row r="289" spans="4:28" ht="12.75">
      <c r="D289" s="11"/>
      <c r="H289" s="96" t="s">
        <v>2</v>
      </c>
      <c r="I289" s="96"/>
      <c r="J289" s="95">
        <f>+$Y203</f>
        <v>14</v>
      </c>
      <c r="K289" s="96" t="s">
        <v>3</v>
      </c>
      <c r="L289" s="96"/>
      <c r="M289" s="96"/>
      <c r="N289" s="100"/>
      <c r="O289" s="100"/>
      <c r="P289" s="100"/>
      <c r="Q289" s="103">
        <f>SUM(Q286:Q288)</f>
        <v>868</v>
      </c>
      <c r="R289" s="100"/>
      <c r="S289" s="103">
        <f>SUM(S286:S288)</f>
        <v>6076</v>
      </c>
      <c r="T289" s="103">
        <f>SUM(T286:T288)</f>
        <v>14177.333333333334</v>
      </c>
      <c r="U289" s="103">
        <f>SUM(U286:U288)</f>
        <v>0</v>
      </c>
      <c r="V289" s="100"/>
      <c r="W289" s="96"/>
      <c r="X289" s="96"/>
      <c r="Y289" s="96"/>
      <c r="Z289" s="96"/>
      <c r="AA289" s="96"/>
      <c r="AB289" s="96"/>
    </row>
    <row r="290" spans="4:28" ht="13.5" thickBot="1">
      <c r="D290" s="12"/>
      <c r="H290" s="96" t="s">
        <v>10</v>
      </c>
      <c r="I290" s="96"/>
      <c r="J290" s="104">
        <f>+T289+U289</f>
        <v>14177.333333333334</v>
      </c>
      <c r="K290" s="96" t="s">
        <v>11</v>
      </c>
      <c r="L290" s="96"/>
      <c r="M290" s="96"/>
      <c r="N290" s="100"/>
      <c r="O290" s="100"/>
      <c r="P290" s="100"/>
      <c r="Q290" s="100"/>
      <c r="R290" s="99" t="s">
        <v>9</v>
      </c>
      <c r="S290" s="102">
        <f>+S289/Q289</f>
        <v>7</v>
      </c>
      <c r="T290" s="100"/>
      <c r="U290" s="100"/>
      <c r="V290" s="100"/>
      <c r="W290" s="96"/>
      <c r="X290" s="96"/>
      <c r="Y290" s="96"/>
      <c r="Z290" s="96"/>
      <c r="AA290" s="96"/>
      <c r="AB290" s="96"/>
    </row>
    <row r="291" spans="4:28" ht="13.5" thickBot="1">
      <c r="D291" s="1">
        <f>+J288</f>
        <v>0</v>
      </c>
      <c r="H291" s="96" t="s">
        <v>12</v>
      </c>
      <c r="I291" s="96"/>
      <c r="J291" s="104">
        <f>+T291</f>
        <v>99470</v>
      </c>
      <c r="K291" s="96" t="s">
        <v>11</v>
      </c>
      <c r="L291" s="96"/>
      <c r="M291" s="96"/>
      <c r="N291" s="100" t="s">
        <v>21</v>
      </c>
      <c r="O291" s="100">
        <f>+B282</f>
        <v>435</v>
      </c>
      <c r="P291" s="100">
        <f>+J289</f>
        <v>14</v>
      </c>
      <c r="Q291" s="101">
        <f>+O291*P291</f>
        <v>6090</v>
      </c>
      <c r="R291" s="102"/>
      <c r="S291" s="101"/>
      <c r="T291" s="101">
        <f>+O291*(P291^3)/12</f>
        <v>99470</v>
      </c>
      <c r="U291" s="100"/>
      <c r="V291" s="100"/>
      <c r="W291" s="96"/>
      <c r="X291" s="96"/>
      <c r="Y291" s="96"/>
      <c r="Z291" s="96"/>
      <c r="AA291" s="96"/>
      <c r="AB291" s="96"/>
    </row>
    <row r="292" spans="8:28" ht="17.25" thickBot="1" thickTop="1">
      <c r="H292" s="96"/>
      <c r="I292" s="105" t="s">
        <v>102</v>
      </c>
      <c r="J292" s="106">
        <f>IF(J286=0,0,+J290/J291)</f>
        <v>0.1425287356321839</v>
      </c>
      <c r="K292" s="96"/>
      <c r="L292" s="96"/>
      <c r="M292" s="96"/>
      <c r="N292" s="96"/>
      <c r="O292" s="97"/>
      <c r="P292" s="97"/>
      <c r="Q292" s="97"/>
      <c r="R292" s="97"/>
      <c r="S292" s="97"/>
      <c r="T292" s="97"/>
      <c r="U292" s="97"/>
      <c r="V292" s="96"/>
      <c r="W292" s="96"/>
      <c r="X292" s="96"/>
      <c r="Y292" s="96"/>
      <c r="Z292" s="96"/>
      <c r="AA292" s="96"/>
      <c r="AB292" s="96"/>
    </row>
    <row r="293" spans="1:28" ht="15" thickTop="1">
      <c r="A293" s="25"/>
      <c r="B293" s="25"/>
      <c r="C293" s="25"/>
      <c r="D293" s="25"/>
      <c r="E293" s="25"/>
      <c r="F293" s="25"/>
      <c r="G293" s="25"/>
      <c r="H293" s="107" t="s">
        <v>100</v>
      </c>
      <c r="I293" s="108"/>
      <c r="J293" s="108"/>
      <c r="K293" s="108"/>
      <c r="L293" s="108"/>
      <c r="M293" s="108"/>
      <c r="N293" s="108"/>
      <c r="O293" s="109"/>
      <c r="P293" s="109"/>
      <c r="Q293" s="109"/>
      <c r="R293" s="109"/>
      <c r="S293" s="109"/>
      <c r="T293" s="109"/>
      <c r="U293" s="109"/>
      <c r="V293" s="108"/>
      <c r="W293" s="96"/>
      <c r="X293" s="96"/>
      <c r="Y293" s="96"/>
      <c r="Z293" s="96"/>
      <c r="AA293" s="96"/>
      <c r="AB293" s="96"/>
    </row>
    <row r="294" spans="8:28" ht="12.75">
      <c r="H294" s="96"/>
      <c r="I294" s="96"/>
      <c r="J294" s="96"/>
      <c r="K294" s="96"/>
      <c r="L294" s="96"/>
      <c r="M294" s="96"/>
      <c r="N294" s="96"/>
      <c r="O294" s="97"/>
      <c r="P294" s="97"/>
      <c r="Q294" s="97"/>
      <c r="R294" s="97"/>
      <c r="S294" s="97"/>
      <c r="T294" s="97"/>
      <c r="U294" s="97"/>
      <c r="V294" s="96"/>
      <c r="W294" s="96"/>
      <c r="X294" s="96"/>
      <c r="Y294" s="96"/>
      <c r="Z294" s="96"/>
      <c r="AA294" s="96"/>
      <c r="AB294" s="96"/>
    </row>
    <row r="295" spans="2:28" ht="12.75">
      <c r="B295" s="122">
        <f>IF(J298=0,+K298/2+D297/2,+IF(K298=0,+J298/2+D297/2,+(J298+K298)/2))</f>
        <v>485</v>
      </c>
      <c r="C295" s="122"/>
      <c r="D295" s="122"/>
      <c r="E295" s="122"/>
      <c r="F295" s="122"/>
      <c r="H295" s="96"/>
      <c r="I295" s="96"/>
      <c r="J295" s="96"/>
      <c r="K295" s="96"/>
      <c r="L295" s="96"/>
      <c r="M295" s="96"/>
      <c r="N295" s="96"/>
      <c r="O295" s="97"/>
      <c r="P295" s="97"/>
      <c r="Q295" s="97"/>
      <c r="R295" s="97"/>
      <c r="S295" s="97"/>
      <c r="T295" s="97"/>
      <c r="U295" s="97"/>
      <c r="V295" s="96"/>
      <c r="W295" s="96"/>
      <c r="X295" s="96"/>
      <c r="Y295" s="96"/>
      <c r="Z295" s="96"/>
      <c r="AA295" s="96"/>
      <c r="AB295" s="96"/>
    </row>
    <row r="296" spans="3:28" ht="12.75">
      <c r="C296" s="122">
        <f>SUM(C297:E297)</f>
        <v>62</v>
      </c>
      <c r="D296" s="122"/>
      <c r="E296" s="122"/>
      <c r="H296" s="95" t="s">
        <v>33</v>
      </c>
      <c r="I296" s="96"/>
      <c r="J296" s="96"/>
      <c r="K296" s="96"/>
      <c r="L296" s="96"/>
      <c r="M296" s="96"/>
      <c r="N296" s="96"/>
      <c r="O296" s="97"/>
      <c r="P296" s="97"/>
      <c r="Q296" s="97"/>
      <c r="R296" s="97"/>
      <c r="S296" s="97"/>
      <c r="T296" s="97"/>
      <c r="U296" s="97"/>
      <c r="V296" s="96"/>
      <c r="W296" s="96"/>
      <c r="X296" s="96"/>
      <c r="Y296" s="96"/>
      <c r="Z296" s="96"/>
      <c r="AA296" s="96"/>
      <c r="AB296" s="96"/>
    </row>
    <row r="297" spans="3:28" ht="13.5" thickBot="1">
      <c r="C297" s="8">
        <f>IF(J298=0,0,+IF(C301&gt;4*G299,4*G299,+C301))</f>
        <v>31</v>
      </c>
      <c r="D297" s="8">
        <f>+J301</f>
        <v>0</v>
      </c>
      <c r="E297" s="8">
        <f>IF(K298=0,0,+IF(C301&gt;4*G299,4*G299,+C301))</f>
        <v>31</v>
      </c>
      <c r="H297" s="96"/>
      <c r="I297" s="96"/>
      <c r="J297" s="98" t="s">
        <v>14</v>
      </c>
      <c r="K297" s="98" t="s">
        <v>15</v>
      </c>
      <c r="L297" s="96"/>
      <c r="M297" s="96"/>
      <c r="N297" s="96"/>
      <c r="O297" s="97"/>
      <c r="P297" s="97"/>
      <c r="Q297" s="97"/>
      <c r="R297" s="97"/>
      <c r="S297" s="97"/>
      <c r="T297" s="97"/>
      <c r="U297" s="97"/>
      <c r="V297" s="96"/>
      <c r="W297" s="96"/>
      <c r="X297" s="96"/>
      <c r="Y297" s="96"/>
      <c r="Z297" s="96"/>
      <c r="AA297" s="96"/>
      <c r="AB297" s="96"/>
    </row>
    <row r="298" spans="1:28" ht="13.5" thickBot="1">
      <c r="A298" s="1">
        <f>+J300</f>
        <v>0</v>
      </c>
      <c r="D298" s="18"/>
      <c r="H298" s="96" t="s">
        <v>13</v>
      </c>
      <c r="I298" s="96"/>
      <c r="J298" s="95">
        <f>+$E$8*100</f>
        <v>470</v>
      </c>
      <c r="K298" s="95">
        <f>+$E$14*100</f>
        <v>500</v>
      </c>
      <c r="L298" s="96" t="s">
        <v>3</v>
      </c>
      <c r="M298" s="96"/>
      <c r="N298" s="96"/>
      <c r="O298" s="99" t="s">
        <v>4</v>
      </c>
      <c r="P298" s="99" t="s">
        <v>5</v>
      </c>
      <c r="Q298" s="99" t="s">
        <v>6</v>
      </c>
      <c r="R298" s="99" t="s">
        <v>7</v>
      </c>
      <c r="S298" s="99" t="s">
        <v>8</v>
      </c>
      <c r="T298" s="99" t="s">
        <v>19</v>
      </c>
      <c r="U298" s="99" t="s">
        <v>20</v>
      </c>
      <c r="V298" s="100"/>
      <c r="W298" s="96"/>
      <c r="X298" s="96"/>
      <c r="Y298" s="96"/>
      <c r="Z298" s="96"/>
      <c r="AA298" s="96"/>
      <c r="AB298" s="96"/>
    </row>
    <row r="299" spans="2:28" ht="13.5" thickBot="1">
      <c r="B299" s="13"/>
      <c r="C299" s="9"/>
      <c r="D299" s="17"/>
      <c r="E299" s="10"/>
      <c r="F299" s="14"/>
      <c r="G299" s="7">
        <f>+J302</f>
        <v>14</v>
      </c>
      <c r="H299" s="96" t="s">
        <v>0</v>
      </c>
      <c r="I299" s="96"/>
      <c r="J299" s="95">
        <f>+$F$26</f>
        <v>45</v>
      </c>
      <c r="K299" s="96" t="s">
        <v>3</v>
      </c>
      <c r="L299" s="96"/>
      <c r="M299" s="96"/>
      <c r="N299" s="100" t="s">
        <v>24</v>
      </c>
      <c r="O299" s="100">
        <f>+D304</f>
        <v>0</v>
      </c>
      <c r="P299" s="100">
        <f>+C301</f>
        <v>31</v>
      </c>
      <c r="Q299" s="101">
        <f>+O299*P299</f>
        <v>0</v>
      </c>
      <c r="R299" s="102">
        <f>+G299+C301/2</f>
        <v>29.5</v>
      </c>
      <c r="S299" s="101">
        <f>+Q299*R299</f>
        <v>0</v>
      </c>
      <c r="T299" s="101">
        <f>+O299*(P299^3)/12</f>
        <v>0</v>
      </c>
      <c r="U299" s="101">
        <f>+Q299*(S303-R299)^2</f>
        <v>0</v>
      </c>
      <c r="V299" s="100"/>
      <c r="W299" s="96"/>
      <c r="X299" s="96"/>
      <c r="Y299" s="96"/>
      <c r="Z299" s="96"/>
      <c r="AA299" s="96"/>
      <c r="AB299" s="96"/>
    </row>
    <row r="300" spans="4:28" ht="12.75">
      <c r="D300" s="11"/>
      <c r="H300" s="96" t="s">
        <v>18</v>
      </c>
      <c r="I300" s="96"/>
      <c r="J300" s="95">
        <f>+$H$26</f>
        <v>0</v>
      </c>
      <c r="K300" s="96" t="s">
        <v>3</v>
      </c>
      <c r="L300" s="96"/>
      <c r="M300" s="96"/>
      <c r="N300" s="100" t="s">
        <v>23</v>
      </c>
      <c r="O300" s="100">
        <f>+D304</f>
        <v>0</v>
      </c>
      <c r="P300" s="100">
        <f>+A298</f>
        <v>0</v>
      </c>
      <c r="Q300" s="101">
        <f>+O300*P300</f>
        <v>0</v>
      </c>
      <c r="R300" s="102">
        <f>-A298/2</f>
        <v>0</v>
      </c>
      <c r="S300" s="101">
        <f>+Q300*R300</f>
        <v>0</v>
      </c>
      <c r="T300" s="101">
        <f>+O300*(P300^3)/12</f>
        <v>0</v>
      </c>
      <c r="U300" s="101">
        <f>+Q300*(S303-R300)^2</f>
        <v>0</v>
      </c>
      <c r="V300" s="100"/>
      <c r="W300" s="96"/>
      <c r="X300" s="96"/>
      <c r="Y300" s="96"/>
      <c r="Z300" s="96"/>
      <c r="AA300" s="96"/>
      <c r="AB300" s="96"/>
    </row>
    <row r="301" spans="1:28" ht="12.75">
      <c r="A301" s="1">
        <f>+J299-J300</f>
        <v>45</v>
      </c>
      <c r="C301" s="1">
        <f>+A301-G299</f>
        <v>31</v>
      </c>
      <c r="D301" s="11"/>
      <c r="H301" s="96" t="s">
        <v>1</v>
      </c>
      <c r="I301" s="96"/>
      <c r="J301" s="95">
        <f>+$E$26</f>
        <v>0</v>
      </c>
      <c r="K301" s="96" t="s">
        <v>3</v>
      </c>
      <c r="L301" s="96"/>
      <c r="M301" s="96"/>
      <c r="N301" s="100" t="s">
        <v>22</v>
      </c>
      <c r="O301" s="100">
        <f>+C296</f>
        <v>62</v>
      </c>
      <c r="P301" s="100">
        <f>+G299</f>
        <v>14</v>
      </c>
      <c r="Q301" s="101">
        <f>+O301*P301</f>
        <v>868</v>
      </c>
      <c r="R301" s="102">
        <f>+G299/2</f>
        <v>7</v>
      </c>
      <c r="S301" s="101">
        <f>+Q301*R301</f>
        <v>6076</v>
      </c>
      <c r="T301" s="101">
        <f>+O301*(P301^3)/12</f>
        <v>14177.333333333334</v>
      </c>
      <c r="U301" s="101">
        <f>+Q301*(S303-R301)^2</f>
        <v>0</v>
      </c>
      <c r="V301" s="100"/>
      <c r="W301" s="96"/>
      <c r="X301" s="96"/>
      <c r="Y301" s="96"/>
      <c r="Z301" s="96"/>
      <c r="AA301" s="96"/>
      <c r="AB301" s="96"/>
    </row>
    <row r="302" spans="4:28" ht="12.75">
      <c r="D302" s="11"/>
      <c r="H302" s="96" t="s">
        <v>2</v>
      </c>
      <c r="I302" s="96"/>
      <c r="J302" s="95">
        <f>+$Y203</f>
        <v>14</v>
      </c>
      <c r="K302" s="96" t="s">
        <v>3</v>
      </c>
      <c r="L302" s="96"/>
      <c r="M302" s="96"/>
      <c r="N302" s="100"/>
      <c r="O302" s="100"/>
      <c r="P302" s="100"/>
      <c r="Q302" s="103">
        <f>SUM(Q299:Q301)</f>
        <v>868</v>
      </c>
      <c r="R302" s="100"/>
      <c r="S302" s="103">
        <f>SUM(S299:S301)</f>
        <v>6076</v>
      </c>
      <c r="T302" s="103">
        <f>SUM(T299:T301)</f>
        <v>14177.333333333334</v>
      </c>
      <c r="U302" s="103">
        <f>SUM(U299:U301)</f>
        <v>0</v>
      </c>
      <c r="V302" s="100"/>
      <c r="W302" s="96"/>
      <c r="X302" s="96"/>
      <c r="Y302" s="96"/>
      <c r="Z302" s="96"/>
      <c r="AA302" s="96"/>
      <c r="AB302" s="96"/>
    </row>
    <row r="303" spans="4:28" ht="13.5" thickBot="1">
      <c r="D303" s="12"/>
      <c r="H303" s="96" t="s">
        <v>10</v>
      </c>
      <c r="I303" s="96"/>
      <c r="J303" s="104">
        <f>+T302+U302</f>
        <v>14177.333333333334</v>
      </c>
      <c r="K303" s="96" t="s">
        <v>11</v>
      </c>
      <c r="L303" s="96"/>
      <c r="M303" s="96"/>
      <c r="N303" s="100"/>
      <c r="O303" s="100"/>
      <c r="P303" s="100"/>
      <c r="Q303" s="100"/>
      <c r="R303" s="99" t="s">
        <v>9</v>
      </c>
      <c r="S303" s="102">
        <f>+S302/Q302</f>
        <v>7</v>
      </c>
      <c r="T303" s="100"/>
      <c r="U303" s="100"/>
      <c r="V303" s="100"/>
      <c r="W303" s="96"/>
      <c r="X303" s="96"/>
      <c r="Y303" s="96"/>
      <c r="Z303" s="96"/>
      <c r="AA303" s="96"/>
      <c r="AB303" s="96"/>
    </row>
    <row r="304" spans="4:28" ht="13.5" thickBot="1">
      <c r="D304" s="1">
        <f>+J301</f>
        <v>0</v>
      </c>
      <c r="H304" s="96" t="s">
        <v>12</v>
      </c>
      <c r="I304" s="96"/>
      <c r="J304" s="104">
        <f>+T304</f>
        <v>110903.33333333333</v>
      </c>
      <c r="K304" s="96" t="s">
        <v>11</v>
      </c>
      <c r="L304" s="96"/>
      <c r="M304" s="96"/>
      <c r="N304" s="100" t="s">
        <v>21</v>
      </c>
      <c r="O304" s="100">
        <f>+B295</f>
        <v>485</v>
      </c>
      <c r="P304" s="100">
        <f>+J302</f>
        <v>14</v>
      </c>
      <c r="Q304" s="101">
        <f>+O304*P304</f>
        <v>6790</v>
      </c>
      <c r="R304" s="102"/>
      <c r="S304" s="101"/>
      <c r="T304" s="101">
        <f>+O304*(P304^3)/12</f>
        <v>110903.33333333333</v>
      </c>
      <c r="U304" s="100"/>
      <c r="V304" s="100"/>
      <c r="W304" s="96"/>
      <c r="X304" s="96"/>
      <c r="Y304" s="96"/>
      <c r="Z304" s="96"/>
      <c r="AA304" s="96"/>
      <c r="AB304" s="96"/>
    </row>
    <row r="305" spans="8:28" ht="17.25" thickBot="1" thickTop="1">
      <c r="H305" s="96"/>
      <c r="I305" s="105" t="s">
        <v>103</v>
      </c>
      <c r="J305" s="106">
        <f>IF(J299=0,0,+J303/J304)</f>
        <v>0.12783505154639177</v>
      </c>
      <c r="K305" s="96"/>
      <c r="L305" s="96"/>
      <c r="M305" s="96"/>
      <c r="N305" s="96"/>
      <c r="O305" s="97"/>
      <c r="P305" s="97"/>
      <c r="Q305" s="97"/>
      <c r="R305" s="97"/>
      <c r="S305" s="97"/>
      <c r="T305" s="97"/>
      <c r="U305" s="97"/>
      <c r="V305" s="96"/>
      <c r="W305" s="96"/>
      <c r="X305" s="96"/>
      <c r="Y305" s="96"/>
      <c r="Z305" s="96"/>
      <c r="AA305" s="96"/>
      <c r="AB305" s="96"/>
    </row>
    <row r="306" spans="1:28" ht="15" thickTop="1">
      <c r="A306" s="25"/>
      <c r="B306" s="25"/>
      <c r="C306" s="25"/>
      <c r="D306" s="25"/>
      <c r="E306" s="25"/>
      <c r="F306" s="25"/>
      <c r="G306" s="25"/>
      <c r="H306" s="107" t="s">
        <v>100</v>
      </c>
      <c r="I306" s="108"/>
      <c r="J306" s="108"/>
      <c r="K306" s="108"/>
      <c r="L306" s="108"/>
      <c r="M306" s="108"/>
      <c r="N306" s="108"/>
      <c r="O306" s="109"/>
      <c r="P306" s="109"/>
      <c r="Q306" s="109"/>
      <c r="R306" s="109"/>
      <c r="S306" s="109"/>
      <c r="T306" s="109"/>
      <c r="U306" s="109"/>
      <c r="V306" s="108"/>
      <c r="W306" s="96"/>
      <c r="X306" s="96"/>
      <c r="Y306" s="96"/>
      <c r="Z306" s="96"/>
      <c r="AA306" s="96"/>
      <c r="AB306" s="96"/>
    </row>
    <row r="308" spans="1:24" ht="13.5" thickBot="1">
      <c r="A308" s="94" t="s">
        <v>106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30"/>
      <c r="P308" s="30"/>
      <c r="Q308" s="30"/>
      <c r="R308" s="30"/>
      <c r="S308" s="30"/>
      <c r="T308" s="30"/>
      <c r="U308" s="30"/>
      <c r="V308" s="29"/>
      <c r="X308" t="s">
        <v>106</v>
      </c>
    </row>
    <row r="309" spans="2:28" ht="15.75" thickBot="1">
      <c r="B309" s="122">
        <f>IF(J312=0,+K312/2+D311/2,+IF(K312=0,+J312/2+D311/2,+(J312+K312)/2))</f>
        <v>390</v>
      </c>
      <c r="C309" s="122"/>
      <c r="D309" s="122"/>
      <c r="E309" s="122"/>
      <c r="F309" s="122"/>
      <c r="W309" s="50"/>
      <c r="X309" s="51" t="s">
        <v>82</v>
      </c>
      <c r="Y309" s="52">
        <f>ROUND(IF(Z313&lt;0.2,+W322,+IF(Z313&lt;2,+X322,+Y322))*AB309,0)</f>
        <v>14</v>
      </c>
      <c r="Z309" s="53" t="s">
        <v>3</v>
      </c>
      <c r="AB309">
        <f>IF(Z313&lt;0.2,1,+AB310)</f>
        <v>1</v>
      </c>
    </row>
    <row r="310" spans="3:28" ht="12.75">
      <c r="C310" s="122">
        <f>SUM(C311:E311)</f>
        <v>72</v>
      </c>
      <c r="D310" s="122"/>
      <c r="E310" s="122"/>
      <c r="H310" s="95" t="s">
        <v>30</v>
      </c>
      <c r="I310" s="96"/>
      <c r="J310" s="96"/>
      <c r="K310" s="96"/>
      <c r="L310" s="96"/>
      <c r="M310" s="96"/>
      <c r="N310" s="96"/>
      <c r="O310" s="97"/>
      <c r="P310" s="97"/>
      <c r="Q310" s="97"/>
      <c r="R310" s="97"/>
      <c r="S310" s="97"/>
      <c r="T310" s="97"/>
      <c r="U310" s="97"/>
      <c r="V310" s="96"/>
      <c r="W310" s="2" t="s">
        <v>104</v>
      </c>
      <c r="X310">
        <f>+Y256</f>
        <v>14</v>
      </c>
      <c r="Y310" t="s">
        <v>3</v>
      </c>
      <c r="AB310" s="31">
        <f>MAX(AB311:AB314)</f>
        <v>1</v>
      </c>
    </row>
    <row r="311" spans="3:28" ht="16.5" thickBot="1">
      <c r="C311" s="8">
        <f>IF(J312=0,0,+IF(C315&gt;4*G313,4*G313,+C315))</f>
        <v>36</v>
      </c>
      <c r="D311" s="8">
        <f>+J315</f>
        <v>0</v>
      </c>
      <c r="E311" s="8">
        <f>IF(K312=0,0,+IF(C315&gt;4*G313,4*G313,+C315))</f>
        <v>36</v>
      </c>
      <c r="H311" s="96"/>
      <c r="I311" s="96"/>
      <c r="J311" s="98" t="s">
        <v>14</v>
      </c>
      <c r="K311" s="98" t="s">
        <v>15</v>
      </c>
      <c r="L311" s="96"/>
      <c r="M311" s="96"/>
      <c r="N311" s="96"/>
      <c r="O311" s="97"/>
      <c r="P311" s="97"/>
      <c r="Q311" s="97"/>
      <c r="R311" s="97"/>
      <c r="S311" s="97"/>
      <c r="T311" s="97"/>
      <c r="U311" s="97"/>
      <c r="V311" s="96"/>
      <c r="W311" s="37" t="s">
        <v>63</v>
      </c>
      <c r="X311" s="36">
        <f>+J319</f>
        <v>0.18461538461538463</v>
      </c>
      <c r="AA311">
        <f>+$G$11</f>
        <v>1</v>
      </c>
      <c r="AB311">
        <f>IF(AA311=1,1,+IF(X311&gt;=0.8,1,1.1))</f>
        <v>1</v>
      </c>
    </row>
    <row r="312" spans="1:28" ht="16.5" thickBot="1">
      <c r="A312" s="1">
        <f>+J314</f>
        <v>0</v>
      </c>
      <c r="D312" s="18"/>
      <c r="H312" s="96" t="s">
        <v>13</v>
      </c>
      <c r="I312" s="96"/>
      <c r="J312" s="95">
        <f>+$E$11*100</f>
        <v>330</v>
      </c>
      <c r="K312" s="95">
        <f>+$E$7*100</f>
        <v>450</v>
      </c>
      <c r="L312" s="96" t="s">
        <v>3</v>
      </c>
      <c r="M312" s="96"/>
      <c r="N312" s="96"/>
      <c r="O312" s="99" t="s">
        <v>4</v>
      </c>
      <c r="P312" s="99" t="s">
        <v>5</v>
      </c>
      <c r="Q312" s="99" t="s">
        <v>6</v>
      </c>
      <c r="R312" s="99" t="s">
        <v>7</v>
      </c>
      <c r="S312" s="99" t="s">
        <v>8</v>
      </c>
      <c r="T312" s="99" t="s">
        <v>19</v>
      </c>
      <c r="U312" s="99" t="s">
        <v>20</v>
      </c>
      <c r="V312" s="100"/>
      <c r="W312" s="37" t="s">
        <v>64</v>
      </c>
      <c r="X312" s="36">
        <f>+J332</f>
        <v>0.18461538461538463</v>
      </c>
      <c r="AA312">
        <f>+$G$12</f>
        <v>1</v>
      </c>
      <c r="AB312">
        <f>IF(AA312=1,1,+IF(X312&gt;=0.8,1,1.1))</f>
        <v>1</v>
      </c>
    </row>
    <row r="313" spans="2:28" ht="17.25" thickBot="1" thickTop="1">
      <c r="B313" s="13"/>
      <c r="C313" s="9"/>
      <c r="D313" s="17"/>
      <c r="E313" s="10"/>
      <c r="F313" s="14"/>
      <c r="G313" s="7">
        <f>+J316</f>
        <v>14</v>
      </c>
      <c r="H313" s="96" t="s">
        <v>0</v>
      </c>
      <c r="I313" s="96"/>
      <c r="J313" s="95">
        <f>+$F$23</f>
        <v>50</v>
      </c>
      <c r="K313" s="96" t="s">
        <v>3</v>
      </c>
      <c r="L313" s="96"/>
      <c r="M313" s="96"/>
      <c r="N313" s="100" t="s">
        <v>24</v>
      </c>
      <c r="O313" s="100">
        <f>+D318</f>
        <v>0</v>
      </c>
      <c r="P313" s="100">
        <f>+C315</f>
        <v>36</v>
      </c>
      <c r="Q313" s="101">
        <f>+O313*P313</f>
        <v>0</v>
      </c>
      <c r="R313" s="102">
        <f>+G313+C315/2</f>
        <v>32</v>
      </c>
      <c r="S313" s="101">
        <f>+Q313*R313</f>
        <v>0</v>
      </c>
      <c r="T313" s="101">
        <f>+O313*(P313^3)/12</f>
        <v>0</v>
      </c>
      <c r="U313" s="101">
        <f>+Q313*(S317-R313)^2</f>
        <v>0</v>
      </c>
      <c r="V313" s="100"/>
      <c r="W313" s="37" t="s">
        <v>65</v>
      </c>
      <c r="X313" s="36">
        <f>+J345</f>
        <v>0.1425287356321839</v>
      </c>
      <c r="Y313" s="5" t="s">
        <v>51</v>
      </c>
      <c r="Z313" s="6">
        <f>SUM(X311:X314)/4</f>
        <v>0.15989863910233623</v>
      </c>
      <c r="AA313">
        <f>+$G$13</f>
        <v>1</v>
      </c>
      <c r="AB313">
        <f>IF(AA313=1,1,+IF(X313&gt;=0.8,1,1.1))</f>
        <v>1</v>
      </c>
    </row>
    <row r="314" spans="4:28" ht="15.75">
      <c r="D314" s="11"/>
      <c r="H314" s="96" t="s">
        <v>18</v>
      </c>
      <c r="I314" s="96"/>
      <c r="J314" s="95">
        <f>+$H$23</f>
        <v>0</v>
      </c>
      <c r="K314" s="96" t="s">
        <v>3</v>
      </c>
      <c r="L314" s="96"/>
      <c r="M314" s="96"/>
      <c r="N314" s="100" t="s">
        <v>23</v>
      </c>
      <c r="O314" s="100">
        <f>+D318</f>
        <v>0</v>
      </c>
      <c r="P314" s="100">
        <f>+A312</f>
        <v>0</v>
      </c>
      <c r="Q314" s="101">
        <f>+O314*P314</f>
        <v>0</v>
      </c>
      <c r="R314" s="102">
        <f>-A312/2</f>
        <v>0</v>
      </c>
      <c r="S314" s="101">
        <f>+Q314*R314</f>
        <v>0</v>
      </c>
      <c r="T314" s="101">
        <f>+O314*(P314^3)/12</f>
        <v>0</v>
      </c>
      <c r="U314" s="101">
        <f>+Q314*(S317-R314)^2</f>
        <v>0</v>
      </c>
      <c r="V314" s="100"/>
      <c r="W314" s="37" t="s">
        <v>66</v>
      </c>
      <c r="X314" s="36">
        <f>+J358</f>
        <v>0.12783505154639177</v>
      </c>
      <c r="AA314">
        <f>+$G$14</f>
        <v>1</v>
      </c>
      <c r="AB314">
        <f>IF(AA314=1,1,+IF(X314&gt;=0.8,1,1.1))</f>
        <v>1</v>
      </c>
    </row>
    <row r="315" spans="1:28" ht="12.75">
      <c r="A315" s="1">
        <f>+J313-J314</f>
        <v>50</v>
      </c>
      <c r="C315" s="1">
        <f>+A315-G313</f>
        <v>36</v>
      </c>
      <c r="D315" s="11"/>
      <c r="H315" s="96" t="s">
        <v>1</v>
      </c>
      <c r="I315" s="96"/>
      <c r="J315" s="95">
        <f>+$E$23</f>
        <v>0</v>
      </c>
      <c r="K315" s="96" t="s">
        <v>3</v>
      </c>
      <c r="L315" s="96"/>
      <c r="M315" s="96"/>
      <c r="N315" s="100" t="s">
        <v>22</v>
      </c>
      <c r="O315" s="100">
        <f>+C310</f>
        <v>72</v>
      </c>
      <c r="P315" s="100">
        <f>+G313</f>
        <v>14</v>
      </c>
      <c r="Q315" s="101">
        <f>+O315*P315</f>
        <v>1008</v>
      </c>
      <c r="R315" s="102">
        <f>+G313/2</f>
        <v>7</v>
      </c>
      <c r="S315" s="101">
        <f>+Q315*R315</f>
        <v>7056</v>
      </c>
      <c r="T315" s="101">
        <f>+O315*(P315^3)/12</f>
        <v>16464</v>
      </c>
      <c r="U315" s="101">
        <f>+Q315*(S317-R315)^2</f>
        <v>0</v>
      </c>
      <c r="V315" s="100"/>
      <c r="X315" s="19"/>
      <c r="Y315" s="19"/>
      <c r="Z315" s="19"/>
      <c r="AA315" s="96"/>
      <c r="AB315" s="96"/>
    </row>
    <row r="316" spans="4:28" ht="12.75">
      <c r="D316" s="11"/>
      <c r="H316" s="96" t="s">
        <v>2</v>
      </c>
      <c r="I316" s="96"/>
      <c r="J316" s="95">
        <f>+$Y256</f>
        <v>14</v>
      </c>
      <c r="K316" s="96" t="s">
        <v>3</v>
      </c>
      <c r="L316" s="96"/>
      <c r="M316" s="96"/>
      <c r="N316" s="100"/>
      <c r="O316" s="100"/>
      <c r="P316" s="100"/>
      <c r="Q316" s="103">
        <f>SUM(Q313:Q315)</f>
        <v>1008</v>
      </c>
      <c r="R316" s="100"/>
      <c r="S316" s="103">
        <f>SUM(S313:S315)</f>
        <v>7056</v>
      </c>
      <c r="T316" s="103">
        <f>SUM(T313:T315)</f>
        <v>16464</v>
      </c>
      <c r="U316" s="103">
        <f>SUM(U313:U315)</f>
        <v>0</v>
      </c>
      <c r="V316" s="100"/>
      <c r="W316" s="47" t="s">
        <v>73</v>
      </c>
      <c r="X316" s="47" t="s">
        <v>74</v>
      </c>
      <c r="Y316" s="47" t="s">
        <v>75</v>
      </c>
      <c r="Z316" s="19"/>
      <c r="AA316" s="96"/>
      <c r="AB316" s="96"/>
    </row>
    <row r="317" spans="4:28" ht="13.5" thickBot="1">
      <c r="D317" s="12"/>
      <c r="H317" s="96" t="s">
        <v>10</v>
      </c>
      <c r="I317" s="96"/>
      <c r="J317" s="104">
        <f>+T316+U316</f>
        <v>16464</v>
      </c>
      <c r="K317" s="96" t="s">
        <v>11</v>
      </c>
      <c r="L317" s="96"/>
      <c r="M317" s="96"/>
      <c r="N317" s="100"/>
      <c r="O317" s="100"/>
      <c r="P317" s="100"/>
      <c r="Q317" s="100"/>
      <c r="R317" s="99" t="s">
        <v>9</v>
      </c>
      <c r="S317" s="102">
        <f>+S316/Q316</f>
        <v>7</v>
      </c>
      <c r="T317" s="100"/>
      <c r="U317" s="100"/>
      <c r="V317" s="100"/>
      <c r="W317" s="42">
        <f>$E$39/$AA$3*100</f>
        <v>14.242424242424242</v>
      </c>
      <c r="X317" s="42">
        <f>(+$E$39*100*(0.8+$H$6/200000))/(36+5*$E$38*(Z313-0.2))</f>
        <v>14.505274406056218</v>
      </c>
      <c r="Y317" s="42">
        <f>(+$E$39*100*(0.8+$H$6/200000))/(36+9*$E$38)</f>
        <v>11.435070702643172</v>
      </c>
      <c r="Z317" s="19"/>
      <c r="AA317" s="96"/>
      <c r="AB317" s="96"/>
    </row>
    <row r="318" spans="4:28" ht="13.5" thickBot="1">
      <c r="D318" s="1">
        <f>+J315</f>
        <v>0</v>
      </c>
      <c r="H318" s="96" t="s">
        <v>12</v>
      </c>
      <c r="I318" s="96"/>
      <c r="J318" s="104">
        <f>+T318</f>
        <v>89180</v>
      </c>
      <c r="K318" s="96" t="s">
        <v>11</v>
      </c>
      <c r="L318" s="96"/>
      <c r="M318" s="96"/>
      <c r="N318" s="100" t="s">
        <v>21</v>
      </c>
      <c r="O318" s="100">
        <f>+B309</f>
        <v>390</v>
      </c>
      <c r="P318" s="100">
        <f>+J316</f>
        <v>14</v>
      </c>
      <c r="Q318" s="101">
        <f>+O318*P318</f>
        <v>5460</v>
      </c>
      <c r="R318" s="102"/>
      <c r="S318" s="101"/>
      <c r="T318" s="101">
        <f>+O318*(P318^3)/12</f>
        <v>89180</v>
      </c>
      <c r="U318" s="100"/>
      <c r="V318" s="100"/>
      <c r="W318" s="41">
        <f>INT(W317)</f>
        <v>14</v>
      </c>
      <c r="X318" s="41">
        <f>INT(X317)</f>
        <v>14</v>
      </c>
      <c r="Y318" s="41">
        <f>INT(Y317)</f>
        <v>11</v>
      </c>
      <c r="Z318" s="19"/>
      <c r="AA318" s="96"/>
      <c r="AB318" s="96"/>
    </row>
    <row r="319" spans="8:28" ht="17.25" thickBot="1" thickTop="1">
      <c r="H319" s="96"/>
      <c r="I319" s="105" t="s">
        <v>99</v>
      </c>
      <c r="J319" s="106">
        <f>IF(J313=0,0,+J317/J318)</f>
        <v>0.18461538461538463</v>
      </c>
      <c r="K319" s="96"/>
      <c r="L319" s="96"/>
      <c r="M319" s="96"/>
      <c r="N319" s="96"/>
      <c r="O319" s="97"/>
      <c r="P319" s="97"/>
      <c r="Q319" s="97"/>
      <c r="R319" s="97"/>
      <c r="S319" s="97"/>
      <c r="T319" s="97"/>
      <c r="U319" s="97"/>
      <c r="V319" s="96"/>
      <c r="W319" s="42">
        <f>+W317-W318</f>
        <v>0.2424242424242422</v>
      </c>
      <c r="X319" s="42">
        <f>+X317-X318</f>
        <v>0.505274406056218</v>
      </c>
      <c r="Y319" s="42">
        <f>+Y317-Y318</f>
        <v>0.4350707026431717</v>
      </c>
      <c r="Z319" s="19"/>
      <c r="AA319" s="96"/>
      <c r="AB319" s="96"/>
    </row>
    <row r="320" spans="1:28" ht="15" thickTop="1">
      <c r="A320" s="25"/>
      <c r="B320" s="25"/>
      <c r="C320" s="25"/>
      <c r="D320" s="25"/>
      <c r="E320" s="25"/>
      <c r="F320" s="25"/>
      <c r="G320" s="25"/>
      <c r="H320" s="107" t="s">
        <v>100</v>
      </c>
      <c r="I320" s="108"/>
      <c r="J320" s="108"/>
      <c r="K320" s="108"/>
      <c r="L320" s="108"/>
      <c r="M320" s="108"/>
      <c r="N320" s="108"/>
      <c r="O320" s="109"/>
      <c r="P320" s="109"/>
      <c r="Q320" s="109"/>
      <c r="R320" s="109"/>
      <c r="S320" s="109"/>
      <c r="T320" s="109"/>
      <c r="U320" s="109"/>
      <c r="V320" s="108"/>
      <c r="W320" s="48">
        <f>IF(W319&gt;0.39,+W318+1,+W318)</f>
        <v>14</v>
      </c>
      <c r="X320" s="48">
        <f>IF(X319&gt;0.39,+X318+1,+X318)</f>
        <v>15</v>
      </c>
      <c r="Y320" s="48">
        <f>IF(Y319&gt;0.39,+Y318+1,+Y318)</f>
        <v>12</v>
      </c>
      <c r="Z320" s="19"/>
      <c r="AA320" s="96"/>
      <c r="AB320" s="96"/>
    </row>
    <row r="321" spans="8:28" ht="12.75">
      <c r="H321" s="96"/>
      <c r="I321" s="96"/>
      <c r="J321" s="96"/>
      <c r="K321" s="96"/>
      <c r="L321" s="96"/>
      <c r="M321" s="96"/>
      <c r="N321" s="96"/>
      <c r="O321" s="97"/>
      <c r="P321" s="97"/>
      <c r="Q321" s="97"/>
      <c r="R321" s="97"/>
      <c r="S321" s="97"/>
      <c r="T321" s="97"/>
      <c r="U321" s="97"/>
      <c r="V321" s="96"/>
      <c r="W321" s="41">
        <f>5*2.54</f>
        <v>12.7</v>
      </c>
      <c r="X321" s="41">
        <f>5*2.54</f>
        <v>12.7</v>
      </c>
      <c r="Y321" s="41">
        <f>3.5*2.54</f>
        <v>8.89</v>
      </c>
      <c r="Z321" s="19"/>
      <c r="AA321" s="96"/>
      <c r="AB321" s="96"/>
    </row>
    <row r="322" spans="2:28" ht="12.75">
      <c r="B322" s="122">
        <f>IF(J325=0,+K325/2+D324/2,+IF(K325=0,+J325/2+D324/2,+(J325+K325)/2))</f>
        <v>390</v>
      </c>
      <c r="C322" s="122"/>
      <c r="D322" s="122"/>
      <c r="E322" s="122"/>
      <c r="F322" s="122"/>
      <c r="H322" s="96"/>
      <c r="I322" s="96"/>
      <c r="J322" s="96"/>
      <c r="K322" s="96"/>
      <c r="L322" s="96"/>
      <c r="M322" s="96"/>
      <c r="N322" s="96"/>
      <c r="O322" s="97"/>
      <c r="P322" s="97"/>
      <c r="Q322" s="97"/>
      <c r="R322" s="97"/>
      <c r="S322" s="97"/>
      <c r="T322" s="97"/>
      <c r="U322" s="97"/>
      <c r="V322" s="96"/>
      <c r="W322" s="48">
        <f>IF(W320&lt;W321,+ROUND(W321,0),+W320)</f>
        <v>14</v>
      </c>
      <c r="X322" s="48">
        <f>IF(X320&lt;X321,+ROUND(X321,0),+X320)</f>
        <v>15</v>
      </c>
      <c r="Y322" s="48">
        <f>IF(Y320&lt;Y321,+ROUND(Y321,0),+Y320)</f>
        <v>12</v>
      </c>
      <c r="Z322" s="19"/>
      <c r="AA322" s="96"/>
      <c r="AB322" s="96"/>
    </row>
    <row r="323" spans="3:28" ht="12.75">
      <c r="C323" s="122">
        <f>SUM(C324:E324)</f>
        <v>72</v>
      </c>
      <c r="D323" s="122"/>
      <c r="E323" s="122"/>
      <c r="H323" s="95" t="s">
        <v>31</v>
      </c>
      <c r="I323" s="96"/>
      <c r="J323" s="96"/>
      <c r="K323" s="96"/>
      <c r="L323" s="96"/>
      <c r="M323" s="96"/>
      <c r="N323" s="96"/>
      <c r="O323" s="97"/>
      <c r="P323" s="97"/>
      <c r="Q323" s="97"/>
      <c r="R323" s="97"/>
      <c r="S323" s="97"/>
      <c r="T323" s="97"/>
      <c r="U323" s="97"/>
      <c r="V323" s="96"/>
      <c r="Z323" s="19"/>
      <c r="AA323" s="96"/>
      <c r="AB323" s="96"/>
    </row>
    <row r="324" spans="3:28" ht="13.5" thickBot="1">
      <c r="C324" s="8">
        <f>IF(J325=0,0,+IF(C328&gt;4*G326,4*G326,+C328))</f>
        <v>36</v>
      </c>
      <c r="D324" s="8">
        <f>+J328</f>
        <v>0</v>
      </c>
      <c r="E324" s="8">
        <f>IF(K325=0,0,+IF(C328&gt;4*G326,4*G326,+C328))</f>
        <v>36</v>
      </c>
      <c r="H324" s="96"/>
      <c r="I324" s="96"/>
      <c r="J324" s="98" t="s">
        <v>14</v>
      </c>
      <c r="K324" s="98" t="s">
        <v>15</v>
      </c>
      <c r="L324" s="96"/>
      <c r="M324" s="96"/>
      <c r="N324" s="96"/>
      <c r="O324" s="97"/>
      <c r="P324" s="97"/>
      <c r="Q324" s="97"/>
      <c r="R324" s="97"/>
      <c r="S324" s="97"/>
      <c r="T324" s="97"/>
      <c r="U324" s="97"/>
      <c r="V324" s="96"/>
      <c r="Z324" s="19"/>
      <c r="AA324" s="96"/>
      <c r="AB324" s="96"/>
    </row>
    <row r="325" spans="1:28" ht="13.5" thickBot="1">
      <c r="A325" s="1">
        <f>+J327</f>
        <v>0</v>
      </c>
      <c r="D325" s="18"/>
      <c r="H325" s="96" t="s">
        <v>13</v>
      </c>
      <c r="I325" s="96"/>
      <c r="J325" s="95">
        <f>+$E$7*100</f>
        <v>450</v>
      </c>
      <c r="K325" s="95">
        <f>+$E$12*100</f>
        <v>330</v>
      </c>
      <c r="L325" s="96" t="s">
        <v>3</v>
      </c>
      <c r="M325" s="96"/>
      <c r="N325" s="96"/>
      <c r="O325" s="99" t="s">
        <v>4</v>
      </c>
      <c r="P325" s="99" t="s">
        <v>5</v>
      </c>
      <c r="Q325" s="99" t="s">
        <v>6</v>
      </c>
      <c r="R325" s="99" t="s">
        <v>7</v>
      </c>
      <c r="S325" s="99" t="s">
        <v>8</v>
      </c>
      <c r="T325" s="99" t="s">
        <v>19</v>
      </c>
      <c r="U325" s="99" t="s">
        <v>20</v>
      </c>
      <c r="V325" s="100"/>
      <c r="Z325" s="19"/>
      <c r="AA325" s="96"/>
      <c r="AB325" s="96"/>
    </row>
    <row r="326" spans="2:28" ht="13.5" thickBot="1">
      <c r="B326" s="13"/>
      <c r="C326" s="9"/>
      <c r="D326" s="17"/>
      <c r="E326" s="10"/>
      <c r="F326" s="14"/>
      <c r="G326" s="7">
        <f>+J329</f>
        <v>14</v>
      </c>
      <c r="H326" s="96" t="s">
        <v>0</v>
      </c>
      <c r="I326" s="96"/>
      <c r="J326" s="95">
        <f>+$F$24</f>
        <v>50</v>
      </c>
      <c r="K326" s="96" t="s">
        <v>3</v>
      </c>
      <c r="L326" s="96"/>
      <c r="M326" s="96"/>
      <c r="N326" s="100" t="s">
        <v>24</v>
      </c>
      <c r="O326" s="100">
        <f>+D331</f>
        <v>0</v>
      </c>
      <c r="P326" s="100">
        <f>+C328</f>
        <v>36</v>
      </c>
      <c r="Q326" s="101">
        <f>+O326*P326</f>
        <v>0</v>
      </c>
      <c r="R326" s="102">
        <f>+G326+C328/2</f>
        <v>32</v>
      </c>
      <c r="S326" s="101">
        <f>+Q326*R326</f>
        <v>0</v>
      </c>
      <c r="T326" s="101">
        <f>+O326*(P326^3)/12</f>
        <v>0</v>
      </c>
      <c r="U326" s="101">
        <f>+Q326*(S330-R326)^2</f>
        <v>0</v>
      </c>
      <c r="V326" s="100"/>
      <c r="Z326" s="19"/>
      <c r="AA326" s="96"/>
      <c r="AB326" s="96"/>
    </row>
    <row r="327" spans="4:28" ht="12.75">
      <c r="D327" s="11"/>
      <c r="H327" s="96" t="s">
        <v>18</v>
      </c>
      <c r="I327" s="96"/>
      <c r="J327" s="95">
        <f>+$H$24</f>
        <v>0</v>
      </c>
      <c r="K327" s="96" t="s">
        <v>3</v>
      </c>
      <c r="L327" s="96"/>
      <c r="M327" s="96"/>
      <c r="N327" s="100" t="s">
        <v>23</v>
      </c>
      <c r="O327" s="100">
        <f>+D331</f>
        <v>0</v>
      </c>
      <c r="P327" s="100">
        <f>+A325</f>
        <v>0</v>
      </c>
      <c r="Q327" s="101">
        <f>+O327*P327</f>
        <v>0</v>
      </c>
      <c r="R327" s="102">
        <f>-A325/2</f>
        <v>0</v>
      </c>
      <c r="S327" s="101">
        <f>+Q327*R327</f>
        <v>0</v>
      </c>
      <c r="T327" s="101">
        <f>+O327*(P327^3)/12</f>
        <v>0</v>
      </c>
      <c r="U327" s="101">
        <f>+Q327*(S330-R327)^2</f>
        <v>0</v>
      </c>
      <c r="V327" s="100"/>
      <c r="Z327" s="19"/>
      <c r="AA327" s="96"/>
      <c r="AB327" s="96"/>
    </row>
    <row r="328" spans="1:28" ht="12.75">
      <c r="A328" s="1">
        <f>+J326-J327</f>
        <v>50</v>
      </c>
      <c r="C328" s="1">
        <f>+A328-G326</f>
        <v>36</v>
      </c>
      <c r="D328" s="11"/>
      <c r="H328" s="96" t="s">
        <v>1</v>
      </c>
      <c r="I328" s="96"/>
      <c r="J328" s="95">
        <f>+$E$24</f>
        <v>0</v>
      </c>
      <c r="K328" s="96" t="s">
        <v>3</v>
      </c>
      <c r="L328" s="96"/>
      <c r="M328" s="96"/>
      <c r="N328" s="100" t="s">
        <v>22</v>
      </c>
      <c r="O328" s="100">
        <f>+C323</f>
        <v>72</v>
      </c>
      <c r="P328" s="100">
        <f>+G326</f>
        <v>14</v>
      </c>
      <c r="Q328" s="101">
        <f>+O328*P328</f>
        <v>1008</v>
      </c>
      <c r="R328" s="102">
        <f>+G326/2</f>
        <v>7</v>
      </c>
      <c r="S328" s="101">
        <f>+Q328*R328</f>
        <v>7056</v>
      </c>
      <c r="T328" s="101">
        <f>+O328*(P328^3)/12</f>
        <v>16464</v>
      </c>
      <c r="U328" s="101">
        <f>+Q328*(S330-R328)^2</f>
        <v>0</v>
      </c>
      <c r="V328" s="100"/>
      <c r="W328" s="96"/>
      <c r="X328" s="96"/>
      <c r="Y328" s="96"/>
      <c r="Z328" s="96"/>
      <c r="AA328" s="96"/>
      <c r="AB328" s="96"/>
    </row>
    <row r="329" spans="4:28" ht="12.75">
      <c r="D329" s="11"/>
      <c r="H329" s="96" t="s">
        <v>2</v>
      </c>
      <c r="I329" s="96"/>
      <c r="J329" s="95">
        <f>+$Y256</f>
        <v>14</v>
      </c>
      <c r="K329" s="96" t="s">
        <v>3</v>
      </c>
      <c r="L329" s="96"/>
      <c r="M329" s="96"/>
      <c r="N329" s="100"/>
      <c r="O329" s="100"/>
      <c r="P329" s="100"/>
      <c r="Q329" s="103">
        <f>SUM(Q326:Q328)</f>
        <v>1008</v>
      </c>
      <c r="R329" s="100"/>
      <c r="S329" s="103">
        <f>SUM(S326:S328)</f>
        <v>7056</v>
      </c>
      <c r="T329" s="103">
        <f>SUM(T326:T328)</f>
        <v>16464</v>
      </c>
      <c r="U329" s="103">
        <f>SUM(U326:U328)</f>
        <v>0</v>
      </c>
      <c r="V329" s="100"/>
      <c r="W329" s="96"/>
      <c r="X329" s="96"/>
      <c r="Y329" s="96"/>
      <c r="Z329" s="96"/>
      <c r="AA329" s="96"/>
      <c r="AB329" s="96"/>
    </row>
    <row r="330" spans="4:28" ht="13.5" thickBot="1">
      <c r="D330" s="12"/>
      <c r="H330" s="96" t="s">
        <v>10</v>
      </c>
      <c r="I330" s="96"/>
      <c r="J330" s="104">
        <f>+T329+U329</f>
        <v>16464</v>
      </c>
      <c r="K330" s="96" t="s">
        <v>11</v>
      </c>
      <c r="L330" s="96"/>
      <c r="M330" s="96"/>
      <c r="N330" s="100"/>
      <c r="O330" s="100"/>
      <c r="P330" s="100"/>
      <c r="Q330" s="100"/>
      <c r="R330" s="99" t="s">
        <v>9</v>
      </c>
      <c r="S330" s="102">
        <f>+S329/Q329</f>
        <v>7</v>
      </c>
      <c r="T330" s="100"/>
      <c r="U330" s="100"/>
      <c r="V330" s="100"/>
      <c r="W330" s="96"/>
      <c r="X330" s="96"/>
      <c r="Y330" s="96"/>
      <c r="Z330" s="96"/>
      <c r="AA330" s="96"/>
      <c r="AB330" s="96"/>
    </row>
    <row r="331" spans="4:28" ht="13.5" thickBot="1">
      <c r="D331" s="1">
        <f>+J328</f>
        <v>0</v>
      </c>
      <c r="H331" s="96" t="s">
        <v>12</v>
      </c>
      <c r="I331" s="96"/>
      <c r="J331" s="104">
        <f>+T331</f>
        <v>89180</v>
      </c>
      <c r="K331" s="96" t="s">
        <v>11</v>
      </c>
      <c r="L331" s="96"/>
      <c r="M331" s="96"/>
      <c r="N331" s="100" t="s">
        <v>21</v>
      </c>
      <c r="O331" s="100">
        <f>+B322</f>
        <v>390</v>
      </c>
      <c r="P331" s="100">
        <f>+J329</f>
        <v>14</v>
      </c>
      <c r="Q331" s="101">
        <f>+O331*P331</f>
        <v>5460</v>
      </c>
      <c r="R331" s="102"/>
      <c r="S331" s="101"/>
      <c r="T331" s="101">
        <f>+O331*(P331^3)/12</f>
        <v>89180</v>
      </c>
      <c r="U331" s="100"/>
      <c r="V331" s="100"/>
      <c r="W331" s="96"/>
      <c r="X331" s="96"/>
      <c r="Y331" s="96"/>
      <c r="Z331" s="96"/>
      <c r="AA331" s="96"/>
      <c r="AB331" s="96"/>
    </row>
    <row r="332" spans="8:28" ht="17.25" thickBot="1" thickTop="1">
      <c r="H332" s="96"/>
      <c r="I332" s="105" t="s">
        <v>101</v>
      </c>
      <c r="J332" s="106">
        <f>IF(J326=0,0,+J330/J331)</f>
        <v>0.18461538461538463</v>
      </c>
      <c r="K332" s="96"/>
      <c r="L332" s="96"/>
      <c r="M332" s="96"/>
      <c r="N332" s="96"/>
      <c r="O332" s="97"/>
      <c r="P332" s="97"/>
      <c r="Q332" s="97"/>
      <c r="R332" s="97"/>
      <c r="S332" s="97"/>
      <c r="T332" s="97"/>
      <c r="U332" s="97"/>
      <c r="V332" s="96"/>
      <c r="W332" s="96"/>
      <c r="X332" s="96"/>
      <c r="Y332" s="96"/>
      <c r="Z332" s="96"/>
      <c r="AA332" s="96"/>
      <c r="AB332" s="96"/>
    </row>
    <row r="333" spans="1:28" ht="15" thickTop="1">
      <c r="A333" s="25"/>
      <c r="B333" s="25"/>
      <c r="C333" s="25"/>
      <c r="D333" s="25"/>
      <c r="E333" s="25"/>
      <c r="F333" s="25"/>
      <c r="G333" s="25"/>
      <c r="H333" s="107" t="s">
        <v>100</v>
      </c>
      <c r="I333" s="108"/>
      <c r="J333" s="108"/>
      <c r="K333" s="108"/>
      <c r="L333" s="108"/>
      <c r="M333" s="108"/>
      <c r="N333" s="108"/>
      <c r="O333" s="109"/>
      <c r="P333" s="109"/>
      <c r="Q333" s="109"/>
      <c r="R333" s="109"/>
      <c r="S333" s="109"/>
      <c r="T333" s="109"/>
      <c r="U333" s="109"/>
      <c r="V333" s="108"/>
      <c r="W333" s="96"/>
      <c r="X333" s="96"/>
      <c r="Y333" s="96"/>
      <c r="Z333" s="96"/>
      <c r="AA333" s="96"/>
      <c r="AB333" s="96"/>
    </row>
    <row r="334" spans="8:28" ht="12.75">
      <c r="H334" s="96"/>
      <c r="I334" s="96"/>
      <c r="J334" s="96"/>
      <c r="K334" s="96"/>
      <c r="L334" s="96"/>
      <c r="M334" s="96"/>
      <c r="N334" s="96"/>
      <c r="O334" s="97"/>
      <c r="P334" s="97"/>
      <c r="Q334" s="97"/>
      <c r="R334" s="97"/>
      <c r="S334" s="97"/>
      <c r="T334" s="97"/>
      <c r="U334" s="97"/>
      <c r="V334" s="96"/>
      <c r="W334" s="96"/>
      <c r="X334" s="96"/>
      <c r="Y334" s="96"/>
      <c r="Z334" s="96"/>
      <c r="AA334" s="96"/>
      <c r="AB334" s="96"/>
    </row>
    <row r="335" spans="2:28" ht="12.75">
      <c r="B335" s="122">
        <f>IF(J338=0,+K338/2+D337/2,+IF(K338=0,+J338/2+D337/2,+(J338+K338)/2))</f>
        <v>435</v>
      </c>
      <c r="C335" s="122"/>
      <c r="D335" s="122"/>
      <c r="E335" s="122"/>
      <c r="F335" s="122"/>
      <c r="H335" s="96"/>
      <c r="I335" s="96"/>
      <c r="J335" s="96"/>
      <c r="K335" s="96"/>
      <c r="L335" s="96"/>
      <c r="M335" s="96"/>
      <c r="N335" s="96"/>
      <c r="O335" s="97"/>
      <c r="P335" s="97"/>
      <c r="Q335" s="97"/>
      <c r="R335" s="97"/>
      <c r="S335" s="97"/>
      <c r="T335" s="97"/>
      <c r="U335" s="97"/>
      <c r="V335" s="96"/>
      <c r="W335" s="96"/>
      <c r="X335" s="96"/>
      <c r="Y335" s="96"/>
      <c r="Z335" s="96"/>
      <c r="AA335" s="96"/>
      <c r="AB335" s="96"/>
    </row>
    <row r="336" spans="3:28" ht="12.75">
      <c r="C336" s="122">
        <f>SUM(C337:E337)</f>
        <v>62</v>
      </c>
      <c r="D336" s="122"/>
      <c r="E336" s="122"/>
      <c r="H336" s="95" t="s">
        <v>32</v>
      </c>
      <c r="I336" s="96"/>
      <c r="J336" s="96"/>
      <c r="K336" s="96"/>
      <c r="L336" s="96"/>
      <c r="M336" s="96"/>
      <c r="N336" s="96"/>
      <c r="O336" s="97"/>
      <c r="P336" s="97"/>
      <c r="Q336" s="97"/>
      <c r="R336" s="97"/>
      <c r="S336" s="97"/>
      <c r="T336" s="97"/>
      <c r="U336" s="97"/>
      <c r="V336" s="96"/>
      <c r="W336" s="96"/>
      <c r="X336" s="96"/>
      <c r="Y336" s="96"/>
      <c r="Z336" s="96"/>
      <c r="AA336" s="96"/>
      <c r="AB336" s="96"/>
    </row>
    <row r="337" spans="3:28" ht="13.5" thickBot="1">
      <c r="C337" s="8">
        <f>IF(J338=0,0,+IF(C341&gt;4*G339,4*G339,+C341))</f>
        <v>31</v>
      </c>
      <c r="D337" s="8">
        <f>+J341</f>
        <v>0</v>
      </c>
      <c r="E337" s="8">
        <f>IF(K338=0,0,+IF(C341&gt;4*G339,4*G339,+C341))</f>
        <v>31</v>
      </c>
      <c r="H337" s="96"/>
      <c r="I337" s="96"/>
      <c r="J337" s="98" t="s">
        <v>14</v>
      </c>
      <c r="K337" s="98" t="s">
        <v>15</v>
      </c>
      <c r="L337" s="96"/>
      <c r="M337" s="96"/>
      <c r="N337" s="96"/>
      <c r="O337" s="97"/>
      <c r="P337" s="97"/>
      <c r="Q337" s="97"/>
      <c r="R337" s="97"/>
      <c r="S337" s="97"/>
      <c r="T337" s="97"/>
      <c r="U337" s="97"/>
      <c r="V337" s="96"/>
      <c r="W337" s="96"/>
      <c r="X337" s="96"/>
      <c r="Y337" s="96"/>
      <c r="Z337" s="96"/>
      <c r="AA337" s="96"/>
      <c r="AB337" s="96"/>
    </row>
    <row r="338" spans="1:28" ht="13.5" thickBot="1">
      <c r="A338" s="1">
        <f>+J340</f>
        <v>0</v>
      </c>
      <c r="D338" s="18"/>
      <c r="H338" s="96" t="s">
        <v>13</v>
      </c>
      <c r="I338" s="96"/>
      <c r="J338" s="95">
        <f>+$E$13*100</f>
        <v>400</v>
      </c>
      <c r="K338" s="95">
        <f>+$E$8*100</f>
        <v>470</v>
      </c>
      <c r="L338" s="96" t="s">
        <v>3</v>
      </c>
      <c r="M338" s="96"/>
      <c r="N338" s="96"/>
      <c r="O338" s="99" t="s">
        <v>4</v>
      </c>
      <c r="P338" s="99" t="s">
        <v>5</v>
      </c>
      <c r="Q338" s="99" t="s">
        <v>6</v>
      </c>
      <c r="R338" s="99" t="s">
        <v>7</v>
      </c>
      <c r="S338" s="99" t="s">
        <v>8</v>
      </c>
      <c r="T338" s="99" t="s">
        <v>19</v>
      </c>
      <c r="U338" s="99" t="s">
        <v>20</v>
      </c>
      <c r="V338" s="100"/>
      <c r="W338" s="96"/>
      <c r="X338" s="96"/>
      <c r="Y338" s="96"/>
      <c r="Z338" s="96"/>
      <c r="AA338" s="96"/>
      <c r="AB338" s="96"/>
    </row>
    <row r="339" spans="2:28" ht="13.5" thickBot="1">
      <c r="B339" s="13"/>
      <c r="C339" s="9"/>
      <c r="D339" s="17"/>
      <c r="E339" s="10"/>
      <c r="F339" s="14"/>
      <c r="G339" s="7">
        <f>+J342</f>
        <v>14</v>
      </c>
      <c r="H339" s="96" t="s">
        <v>0</v>
      </c>
      <c r="I339" s="96"/>
      <c r="J339" s="95">
        <f>+$F$25</f>
        <v>45</v>
      </c>
      <c r="K339" s="96" t="s">
        <v>3</v>
      </c>
      <c r="L339" s="96"/>
      <c r="M339" s="96"/>
      <c r="N339" s="100" t="s">
        <v>24</v>
      </c>
      <c r="O339" s="100">
        <f>+D344</f>
        <v>0</v>
      </c>
      <c r="P339" s="100">
        <f>+C341</f>
        <v>31</v>
      </c>
      <c r="Q339" s="101">
        <f>+O339*P339</f>
        <v>0</v>
      </c>
      <c r="R339" s="102">
        <f>+G339+C341/2</f>
        <v>29.5</v>
      </c>
      <c r="S339" s="101">
        <f>+Q339*R339</f>
        <v>0</v>
      </c>
      <c r="T339" s="101">
        <f>+O339*(P339^3)/12</f>
        <v>0</v>
      </c>
      <c r="U339" s="101">
        <f>+Q339*(S343-R339)^2</f>
        <v>0</v>
      </c>
      <c r="V339" s="100"/>
      <c r="W339" s="96"/>
      <c r="X339" s="96"/>
      <c r="Y339" s="96"/>
      <c r="Z339" s="96"/>
      <c r="AA339" s="96"/>
      <c r="AB339" s="96"/>
    </row>
    <row r="340" spans="4:28" ht="12.75">
      <c r="D340" s="11"/>
      <c r="H340" s="96" t="s">
        <v>18</v>
      </c>
      <c r="I340" s="96"/>
      <c r="J340" s="95">
        <f>+$H$25</f>
        <v>0</v>
      </c>
      <c r="K340" s="96" t="s">
        <v>3</v>
      </c>
      <c r="L340" s="96"/>
      <c r="M340" s="96"/>
      <c r="N340" s="100" t="s">
        <v>23</v>
      </c>
      <c r="O340" s="100">
        <f>+D344</f>
        <v>0</v>
      </c>
      <c r="P340" s="100">
        <f>+A338</f>
        <v>0</v>
      </c>
      <c r="Q340" s="101">
        <f>+O340*P340</f>
        <v>0</v>
      </c>
      <c r="R340" s="102">
        <f>-A338/2</f>
        <v>0</v>
      </c>
      <c r="S340" s="101">
        <f>+Q340*R340</f>
        <v>0</v>
      </c>
      <c r="T340" s="101">
        <f>+O340*(P340^3)/12</f>
        <v>0</v>
      </c>
      <c r="U340" s="101">
        <f>+Q340*(S343-R340)^2</f>
        <v>0</v>
      </c>
      <c r="V340" s="100"/>
      <c r="W340" s="96"/>
      <c r="X340" s="96"/>
      <c r="Y340" s="96"/>
      <c r="Z340" s="96"/>
      <c r="AA340" s="96"/>
      <c r="AB340" s="96"/>
    </row>
    <row r="341" spans="1:28" ht="12.75">
      <c r="A341" s="1">
        <f>+J339-J340</f>
        <v>45</v>
      </c>
      <c r="C341" s="1">
        <f>+A341-G339</f>
        <v>31</v>
      </c>
      <c r="D341" s="11"/>
      <c r="H341" s="96" t="s">
        <v>1</v>
      </c>
      <c r="I341" s="96"/>
      <c r="J341" s="95">
        <f>+$E$25</f>
        <v>0</v>
      </c>
      <c r="K341" s="96" t="s">
        <v>3</v>
      </c>
      <c r="L341" s="96"/>
      <c r="M341" s="96"/>
      <c r="N341" s="100" t="s">
        <v>22</v>
      </c>
      <c r="O341" s="100">
        <f>+C336</f>
        <v>62</v>
      </c>
      <c r="P341" s="100">
        <f>+G339</f>
        <v>14</v>
      </c>
      <c r="Q341" s="101">
        <f>+O341*P341</f>
        <v>868</v>
      </c>
      <c r="R341" s="102">
        <f>+G339/2</f>
        <v>7</v>
      </c>
      <c r="S341" s="101">
        <f>+Q341*R341</f>
        <v>6076</v>
      </c>
      <c r="T341" s="101">
        <f>+O341*(P341^3)/12</f>
        <v>14177.333333333334</v>
      </c>
      <c r="U341" s="101">
        <f>+Q341*(S343-R341)^2</f>
        <v>0</v>
      </c>
      <c r="V341" s="100"/>
      <c r="W341" s="96"/>
      <c r="X341" s="96"/>
      <c r="Y341" s="96"/>
      <c r="Z341" s="96"/>
      <c r="AA341" s="96"/>
      <c r="AB341" s="96"/>
    </row>
    <row r="342" spans="4:28" ht="12.75">
      <c r="D342" s="11"/>
      <c r="H342" s="96" t="s">
        <v>2</v>
      </c>
      <c r="I342" s="96"/>
      <c r="J342" s="95">
        <f>+$Y256</f>
        <v>14</v>
      </c>
      <c r="K342" s="96" t="s">
        <v>3</v>
      </c>
      <c r="L342" s="96"/>
      <c r="M342" s="96"/>
      <c r="N342" s="100"/>
      <c r="O342" s="100"/>
      <c r="P342" s="100"/>
      <c r="Q342" s="103">
        <f>SUM(Q339:Q341)</f>
        <v>868</v>
      </c>
      <c r="R342" s="100"/>
      <c r="S342" s="103">
        <f>SUM(S339:S341)</f>
        <v>6076</v>
      </c>
      <c r="T342" s="103">
        <f>SUM(T339:T341)</f>
        <v>14177.333333333334</v>
      </c>
      <c r="U342" s="103">
        <f>SUM(U339:U341)</f>
        <v>0</v>
      </c>
      <c r="V342" s="100"/>
      <c r="W342" s="96"/>
      <c r="X342" s="96"/>
      <c r="Y342" s="96"/>
      <c r="Z342" s="96"/>
      <c r="AA342" s="96"/>
      <c r="AB342" s="96"/>
    </row>
    <row r="343" spans="4:28" ht="13.5" thickBot="1">
      <c r="D343" s="12"/>
      <c r="H343" s="96" t="s">
        <v>10</v>
      </c>
      <c r="I343" s="96"/>
      <c r="J343" s="104">
        <f>+T342+U342</f>
        <v>14177.333333333334</v>
      </c>
      <c r="K343" s="96" t="s">
        <v>11</v>
      </c>
      <c r="L343" s="96"/>
      <c r="M343" s="96"/>
      <c r="N343" s="100"/>
      <c r="O343" s="100"/>
      <c r="P343" s="100"/>
      <c r="Q343" s="100"/>
      <c r="R343" s="99" t="s">
        <v>9</v>
      </c>
      <c r="S343" s="102">
        <f>+S342/Q342</f>
        <v>7</v>
      </c>
      <c r="T343" s="100"/>
      <c r="U343" s="100"/>
      <c r="V343" s="100"/>
      <c r="W343" s="96"/>
      <c r="X343" s="96"/>
      <c r="Y343" s="96"/>
      <c r="Z343" s="96"/>
      <c r="AA343" s="96"/>
      <c r="AB343" s="96"/>
    </row>
    <row r="344" spans="4:28" ht="13.5" thickBot="1">
      <c r="D344" s="1">
        <f>+J341</f>
        <v>0</v>
      </c>
      <c r="H344" s="96" t="s">
        <v>12</v>
      </c>
      <c r="I344" s="96"/>
      <c r="J344" s="104">
        <f>+T344</f>
        <v>99470</v>
      </c>
      <c r="K344" s="96" t="s">
        <v>11</v>
      </c>
      <c r="L344" s="96"/>
      <c r="M344" s="96"/>
      <c r="N344" s="100" t="s">
        <v>21</v>
      </c>
      <c r="O344" s="100">
        <f>+B335</f>
        <v>435</v>
      </c>
      <c r="P344" s="100">
        <f>+J342</f>
        <v>14</v>
      </c>
      <c r="Q344" s="101">
        <f>+O344*P344</f>
        <v>6090</v>
      </c>
      <c r="R344" s="102"/>
      <c r="S344" s="101"/>
      <c r="T344" s="101">
        <f>+O344*(P344^3)/12</f>
        <v>99470</v>
      </c>
      <c r="U344" s="100"/>
      <c r="V344" s="100"/>
      <c r="W344" s="96"/>
      <c r="X344" s="96"/>
      <c r="Y344" s="96"/>
      <c r="Z344" s="96"/>
      <c r="AA344" s="96"/>
      <c r="AB344" s="96"/>
    </row>
    <row r="345" spans="8:28" ht="17.25" thickBot="1" thickTop="1">
      <c r="H345" s="96"/>
      <c r="I345" s="105" t="s">
        <v>102</v>
      </c>
      <c r="J345" s="106">
        <f>IF(J339=0,0,+J343/J344)</f>
        <v>0.1425287356321839</v>
      </c>
      <c r="K345" s="96"/>
      <c r="L345" s="96"/>
      <c r="M345" s="96"/>
      <c r="N345" s="96"/>
      <c r="O345" s="97"/>
      <c r="P345" s="97"/>
      <c r="Q345" s="97"/>
      <c r="R345" s="97"/>
      <c r="S345" s="97"/>
      <c r="T345" s="97"/>
      <c r="U345" s="97"/>
      <c r="V345" s="96"/>
      <c r="W345" s="96"/>
      <c r="X345" s="96"/>
      <c r="Y345" s="96"/>
      <c r="Z345" s="96"/>
      <c r="AA345" s="96"/>
      <c r="AB345" s="96"/>
    </row>
    <row r="346" spans="1:28" ht="15" thickTop="1">
      <c r="A346" s="25"/>
      <c r="B346" s="25"/>
      <c r="C346" s="25"/>
      <c r="D346" s="25"/>
      <c r="E346" s="25"/>
      <c r="F346" s="25"/>
      <c r="G346" s="25"/>
      <c r="H346" s="107" t="s">
        <v>100</v>
      </c>
      <c r="I346" s="108"/>
      <c r="J346" s="108"/>
      <c r="K346" s="108"/>
      <c r="L346" s="108"/>
      <c r="M346" s="108"/>
      <c r="N346" s="108"/>
      <c r="O346" s="109"/>
      <c r="P346" s="109"/>
      <c r="Q346" s="109"/>
      <c r="R346" s="109"/>
      <c r="S346" s="109"/>
      <c r="T346" s="109"/>
      <c r="U346" s="109"/>
      <c r="V346" s="108"/>
      <c r="W346" s="96"/>
      <c r="X346" s="96"/>
      <c r="Y346" s="96"/>
      <c r="Z346" s="96"/>
      <c r="AA346" s="96"/>
      <c r="AB346" s="96"/>
    </row>
    <row r="347" spans="8:28" ht="12.75">
      <c r="H347" s="96"/>
      <c r="I347" s="96"/>
      <c r="J347" s="96"/>
      <c r="K347" s="96"/>
      <c r="L347" s="96"/>
      <c r="M347" s="96"/>
      <c r="N347" s="96"/>
      <c r="O347" s="97"/>
      <c r="P347" s="97"/>
      <c r="Q347" s="97"/>
      <c r="R347" s="97"/>
      <c r="S347" s="97"/>
      <c r="T347" s="97"/>
      <c r="U347" s="97"/>
      <c r="V347" s="96"/>
      <c r="W347" s="96"/>
      <c r="X347" s="96"/>
      <c r="Y347" s="96"/>
      <c r="Z347" s="96"/>
      <c r="AA347" s="96"/>
      <c r="AB347" s="96"/>
    </row>
    <row r="348" spans="2:28" ht="12.75">
      <c r="B348" s="122">
        <f>IF(J351=0,+K351/2+D350/2,+IF(K351=0,+J351/2+D350/2,+(J351+K351)/2))</f>
        <v>485</v>
      </c>
      <c r="C348" s="122"/>
      <c r="D348" s="122"/>
      <c r="E348" s="122"/>
      <c r="F348" s="122"/>
      <c r="H348" s="96"/>
      <c r="I348" s="96"/>
      <c r="J348" s="96"/>
      <c r="K348" s="96"/>
      <c r="L348" s="96"/>
      <c r="M348" s="96"/>
      <c r="N348" s="96"/>
      <c r="O348" s="97"/>
      <c r="P348" s="97"/>
      <c r="Q348" s="97"/>
      <c r="R348" s="97"/>
      <c r="S348" s="97"/>
      <c r="T348" s="97"/>
      <c r="U348" s="97"/>
      <c r="V348" s="96"/>
      <c r="W348" s="96"/>
      <c r="X348" s="96"/>
      <c r="Y348" s="96"/>
      <c r="Z348" s="96"/>
      <c r="AA348" s="96"/>
      <c r="AB348" s="96"/>
    </row>
    <row r="349" spans="3:28" ht="12.75">
      <c r="C349" s="122">
        <f>SUM(C350:E350)</f>
        <v>62</v>
      </c>
      <c r="D349" s="122"/>
      <c r="E349" s="122"/>
      <c r="H349" s="95" t="s">
        <v>33</v>
      </c>
      <c r="I349" s="96"/>
      <c r="J349" s="96"/>
      <c r="K349" s="96"/>
      <c r="L349" s="96"/>
      <c r="M349" s="96"/>
      <c r="N349" s="96"/>
      <c r="O349" s="97"/>
      <c r="P349" s="97"/>
      <c r="Q349" s="97"/>
      <c r="R349" s="97"/>
      <c r="S349" s="97"/>
      <c r="T349" s="97"/>
      <c r="U349" s="97"/>
      <c r="V349" s="96"/>
      <c r="W349" s="96"/>
      <c r="X349" s="96"/>
      <c r="Y349" s="96"/>
      <c r="Z349" s="96"/>
      <c r="AA349" s="96"/>
      <c r="AB349" s="96"/>
    </row>
    <row r="350" spans="3:28" ht="13.5" thickBot="1">
      <c r="C350" s="8">
        <f>IF(J351=0,0,+IF(C354&gt;4*G352,4*G352,+C354))</f>
        <v>31</v>
      </c>
      <c r="D350" s="8">
        <f>+J354</f>
        <v>0</v>
      </c>
      <c r="E350" s="8">
        <f>IF(K351=0,0,+IF(C354&gt;4*G352,4*G352,+C354))</f>
        <v>31</v>
      </c>
      <c r="H350" s="96"/>
      <c r="I350" s="96"/>
      <c r="J350" s="98" t="s">
        <v>14</v>
      </c>
      <c r="K350" s="98" t="s">
        <v>15</v>
      </c>
      <c r="L350" s="96"/>
      <c r="M350" s="96"/>
      <c r="N350" s="96"/>
      <c r="O350" s="97"/>
      <c r="P350" s="97"/>
      <c r="Q350" s="97"/>
      <c r="R350" s="97"/>
      <c r="S350" s="97"/>
      <c r="T350" s="97"/>
      <c r="U350" s="97"/>
      <c r="V350" s="96"/>
      <c r="W350" s="96"/>
      <c r="X350" s="96"/>
      <c r="Y350" s="96"/>
      <c r="Z350" s="96"/>
      <c r="AA350" s="96"/>
      <c r="AB350" s="96"/>
    </row>
    <row r="351" spans="1:28" ht="13.5" thickBot="1">
      <c r="A351" s="1">
        <f>+J353</f>
        <v>0</v>
      </c>
      <c r="D351" s="18"/>
      <c r="H351" s="96" t="s">
        <v>13</v>
      </c>
      <c r="I351" s="96"/>
      <c r="J351" s="95">
        <f>+$E$8*100</f>
        <v>470</v>
      </c>
      <c r="K351" s="95">
        <f>+$E$14*100</f>
        <v>500</v>
      </c>
      <c r="L351" s="96" t="s">
        <v>3</v>
      </c>
      <c r="M351" s="96"/>
      <c r="N351" s="96"/>
      <c r="O351" s="99" t="s">
        <v>4</v>
      </c>
      <c r="P351" s="99" t="s">
        <v>5</v>
      </c>
      <c r="Q351" s="99" t="s">
        <v>6</v>
      </c>
      <c r="R351" s="99" t="s">
        <v>7</v>
      </c>
      <c r="S351" s="99" t="s">
        <v>8</v>
      </c>
      <c r="T351" s="99" t="s">
        <v>19</v>
      </c>
      <c r="U351" s="99" t="s">
        <v>20</v>
      </c>
      <c r="V351" s="100"/>
      <c r="W351" s="96"/>
      <c r="X351" s="96"/>
      <c r="Y351" s="96"/>
      <c r="Z351" s="96"/>
      <c r="AA351" s="96"/>
      <c r="AB351" s="96"/>
    </row>
    <row r="352" spans="2:28" ht="13.5" thickBot="1">
      <c r="B352" s="13"/>
      <c r="C352" s="9"/>
      <c r="D352" s="17"/>
      <c r="E352" s="10"/>
      <c r="F352" s="14"/>
      <c r="G352" s="7">
        <f>+J355</f>
        <v>14</v>
      </c>
      <c r="H352" s="96" t="s">
        <v>0</v>
      </c>
      <c r="I352" s="96"/>
      <c r="J352" s="95">
        <f>+$F$26</f>
        <v>45</v>
      </c>
      <c r="K352" s="96" t="s">
        <v>3</v>
      </c>
      <c r="L352" s="96"/>
      <c r="M352" s="96"/>
      <c r="N352" s="100" t="s">
        <v>24</v>
      </c>
      <c r="O352" s="100">
        <f>+D357</f>
        <v>0</v>
      </c>
      <c r="P352" s="100">
        <f>+C354</f>
        <v>31</v>
      </c>
      <c r="Q352" s="101">
        <f>+O352*P352</f>
        <v>0</v>
      </c>
      <c r="R352" s="102">
        <f>+G352+C354/2</f>
        <v>29.5</v>
      </c>
      <c r="S352" s="101">
        <f>+Q352*R352</f>
        <v>0</v>
      </c>
      <c r="T352" s="101">
        <f>+O352*(P352^3)/12</f>
        <v>0</v>
      </c>
      <c r="U352" s="101">
        <f>+Q352*(S356-R352)^2</f>
        <v>0</v>
      </c>
      <c r="V352" s="100"/>
      <c r="W352" s="96"/>
      <c r="X352" s="96"/>
      <c r="Y352" s="96"/>
      <c r="Z352" s="96"/>
      <c r="AA352" s="96"/>
      <c r="AB352" s="96"/>
    </row>
    <row r="353" spans="4:28" ht="12.75">
      <c r="D353" s="11"/>
      <c r="H353" s="96" t="s">
        <v>18</v>
      </c>
      <c r="I353" s="96"/>
      <c r="J353" s="95">
        <f>+$H$26</f>
        <v>0</v>
      </c>
      <c r="K353" s="96" t="s">
        <v>3</v>
      </c>
      <c r="L353" s="96"/>
      <c r="M353" s="96"/>
      <c r="N353" s="100" t="s">
        <v>23</v>
      </c>
      <c r="O353" s="100">
        <f>+D357</f>
        <v>0</v>
      </c>
      <c r="P353" s="100">
        <f>+A351</f>
        <v>0</v>
      </c>
      <c r="Q353" s="101">
        <f>+O353*P353</f>
        <v>0</v>
      </c>
      <c r="R353" s="102">
        <f>-A351/2</f>
        <v>0</v>
      </c>
      <c r="S353" s="101">
        <f>+Q353*R353</f>
        <v>0</v>
      </c>
      <c r="T353" s="101">
        <f>+O353*(P353^3)/12</f>
        <v>0</v>
      </c>
      <c r="U353" s="101">
        <f>+Q353*(S356-R353)^2</f>
        <v>0</v>
      </c>
      <c r="V353" s="100"/>
      <c r="W353" s="96"/>
      <c r="X353" s="96"/>
      <c r="Y353" s="96"/>
      <c r="Z353" s="96"/>
      <c r="AA353" s="96"/>
      <c r="AB353" s="96"/>
    </row>
    <row r="354" spans="1:28" ht="12.75">
      <c r="A354" s="1">
        <f>+J352-J353</f>
        <v>45</v>
      </c>
      <c r="C354" s="1">
        <f>+A354-G352</f>
        <v>31</v>
      </c>
      <c r="D354" s="11"/>
      <c r="H354" s="96" t="s">
        <v>1</v>
      </c>
      <c r="I354" s="96"/>
      <c r="J354" s="95">
        <f>+$E$26</f>
        <v>0</v>
      </c>
      <c r="K354" s="96" t="s">
        <v>3</v>
      </c>
      <c r="L354" s="96"/>
      <c r="M354" s="96"/>
      <c r="N354" s="100" t="s">
        <v>22</v>
      </c>
      <c r="O354" s="100">
        <f>+C349</f>
        <v>62</v>
      </c>
      <c r="P354" s="100">
        <f>+G352</f>
        <v>14</v>
      </c>
      <c r="Q354" s="101">
        <f>+O354*P354</f>
        <v>868</v>
      </c>
      <c r="R354" s="102">
        <f>+G352/2</f>
        <v>7</v>
      </c>
      <c r="S354" s="101">
        <f>+Q354*R354</f>
        <v>6076</v>
      </c>
      <c r="T354" s="101">
        <f>+O354*(P354^3)/12</f>
        <v>14177.333333333334</v>
      </c>
      <c r="U354" s="101">
        <f>+Q354*(S356-R354)^2</f>
        <v>0</v>
      </c>
      <c r="V354" s="100"/>
      <c r="W354" s="96"/>
      <c r="X354" s="96"/>
      <c r="Y354" s="96"/>
      <c r="Z354" s="96"/>
      <c r="AA354" s="96"/>
      <c r="AB354" s="96"/>
    </row>
    <row r="355" spans="4:28" ht="12.75">
      <c r="D355" s="11"/>
      <c r="H355" s="96" t="s">
        <v>2</v>
      </c>
      <c r="I355" s="96"/>
      <c r="J355" s="95">
        <f>+$Y256</f>
        <v>14</v>
      </c>
      <c r="K355" s="96" t="s">
        <v>3</v>
      </c>
      <c r="L355" s="96"/>
      <c r="M355" s="96"/>
      <c r="N355" s="100"/>
      <c r="O355" s="100"/>
      <c r="P355" s="100"/>
      <c r="Q355" s="103">
        <f>SUM(Q352:Q354)</f>
        <v>868</v>
      </c>
      <c r="R355" s="100"/>
      <c r="S355" s="103">
        <f>SUM(S352:S354)</f>
        <v>6076</v>
      </c>
      <c r="T355" s="103">
        <f>SUM(T352:T354)</f>
        <v>14177.333333333334</v>
      </c>
      <c r="U355" s="103">
        <f>SUM(U352:U354)</f>
        <v>0</v>
      </c>
      <c r="V355" s="100"/>
      <c r="W355" s="96"/>
      <c r="X355" s="96"/>
      <c r="Y355" s="96"/>
      <c r="Z355" s="96"/>
      <c r="AA355" s="96"/>
      <c r="AB355" s="96"/>
    </row>
    <row r="356" spans="4:28" ht="13.5" thickBot="1">
      <c r="D356" s="12"/>
      <c r="H356" s="96" t="s">
        <v>10</v>
      </c>
      <c r="I356" s="96"/>
      <c r="J356" s="104">
        <f>+T355+U355</f>
        <v>14177.333333333334</v>
      </c>
      <c r="K356" s="96" t="s">
        <v>11</v>
      </c>
      <c r="L356" s="96"/>
      <c r="M356" s="96"/>
      <c r="N356" s="100"/>
      <c r="O356" s="100"/>
      <c r="P356" s="100"/>
      <c r="Q356" s="100"/>
      <c r="R356" s="99" t="s">
        <v>9</v>
      </c>
      <c r="S356" s="102">
        <f>+S355/Q355</f>
        <v>7</v>
      </c>
      <c r="T356" s="100"/>
      <c r="U356" s="100"/>
      <c r="V356" s="100"/>
      <c r="W356" s="96"/>
      <c r="X356" s="96"/>
      <c r="Y356" s="96"/>
      <c r="Z356" s="96"/>
      <c r="AA356" s="96"/>
      <c r="AB356" s="96"/>
    </row>
    <row r="357" spans="4:28" ht="13.5" thickBot="1">
      <c r="D357" s="1">
        <f>+J354</f>
        <v>0</v>
      </c>
      <c r="H357" s="96" t="s">
        <v>12</v>
      </c>
      <c r="I357" s="96"/>
      <c r="J357" s="104">
        <f>+T357</f>
        <v>110903.33333333333</v>
      </c>
      <c r="K357" s="96" t="s">
        <v>11</v>
      </c>
      <c r="L357" s="96"/>
      <c r="M357" s="96"/>
      <c r="N357" s="100" t="s">
        <v>21</v>
      </c>
      <c r="O357" s="100">
        <f>+B348</f>
        <v>485</v>
      </c>
      <c r="P357" s="100">
        <f>+J355</f>
        <v>14</v>
      </c>
      <c r="Q357" s="101">
        <f>+O357*P357</f>
        <v>6790</v>
      </c>
      <c r="R357" s="102"/>
      <c r="S357" s="101"/>
      <c r="T357" s="101">
        <f>+O357*(P357^3)/12</f>
        <v>110903.33333333333</v>
      </c>
      <c r="U357" s="100"/>
      <c r="V357" s="100"/>
      <c r="W357" s="96"/>
      <c r="X357" s="96"/>
      <c r="Y357" s="96"/>
      <c r="Z357" s="96"/>
      <c r="AA357" s="96"/>
      <c r="AB357" s="96"/>
    </row>
    <row r="358" spans="8:28" ht="17.25" thickBot="1" thickTop="1">
      <c r="H358" s="96"/>
      <c r="I358" s="105" t="s">
        <v>103</v>
      </c>
      <c r="J358" s="106">
        <f>IF(J352=0,0,+J356/J357)</f>
        <v>0.12783505154639177</v>
      </c>
      <c r="K358" s="96"/>
      <c r="L358" s="96"/>
      <c r="M358" s="96"/>
      <c r="N358" s="96"/>
      <c r="O358" s="97"/>
      <c r="P358" s="97"/>
      <c r="Q358" s="97"/>
      <c r="R358" s="97"/>
      <c r="S358" s="97"/>
      <c r="T358" s="97"/>
      <c r="U358" s="97"/>
      <c r="V358" s="96"/>
      <c r="W358" s="96"/>
      <c r="X358" s="96"/>
      <c r="Y358" s="96"/>
      <c r="Z358" s="96"/>
      <c r="AA358" s="96"/>
      <c r="AB358" s="96"/>
    </row>
    <row r="359" spans="1:28" ht="15" thickTop="1">
      <c r="A359" s="25"/>
      <c r="B359" s="25"/>
      <c r="C359" s="25"/>
      <c r="D359" s="25"/>
      <c r="E359" s="25"/>
      <c r="F359" s="25"/>
      <c r="G359" s="25"/>
      <c r="H359" s="107" t="s">
        <v>100</v>
      </c>
      <c r="I359" s="108"/>
      <c r="J359" s="108"/>
      <c r="K359" s="108"/>
      <c r="L359" s="108"/>
      <c r="M359" s="108"/>
      <c r="N359" s="108"/>
      <c r="O359" s="109"/>
      <c r="P359" s="109"/>
      <c r="Q359" s="109"/>
      <c r="R359" s="109"/>
      <c r="S359" s="109"/>
      <c r="T359" s="109"/>
      <c r="U359" s="109"/>
      <c r="V359" s="108"/>
      <c r="W359" s="96"/>
      <c r="X359" s="96"/>
      <c r="Y359" s="96"/>
      <c r="Z359" s="96"/>
      <c r="AA359" s="96"/>
      <c r="AB359" s="96"/>
    </row>
    <row r="361" spans="1:24" ht="13.5" thickBot="1">
      <c r="A361" s="94" t="s">
        <v>105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30"/>
      <c r="P361" s="30"/>
      <c r="Q361" s="30"/>
      <c r="R361" s="30"/>
      <c r="S361" s="30"/>
      <c r="T361" s="30"/>
      <c r="U361" s="30"/>
      <c r="V361" s="29"/>
      <c r="X361" t="s">
        <v>105</v>
      </c>
    </row>
    <row r="362" spans="2:28" ht="15.75" thickBot="1">
      <c r="B362" s="122">
        <f>IF(J365=0,+K365/2+D364/2,+IF(K365=0,+J365/2+D364/2,+(J365+K365)/2))</f>
        <v>390</v>
      </c>
      <c r="C362" s="122"/>
      <c r="D362" s="122"/>
      <c r="E362" s="122"/>
      <c r="F362" s="122"/>
      <c r="W362" s="50"/>
      <c r="X362" s="51" t="s">
        <v>82</v>
      </c>
      <c r="Y362" s="52">
        <f>ROUND(IF(Z366&lt;0.2,+W375,+IF(Z366&lt;2,+X375,+Y375))*AB362,0)</f>
        <v>14</v>
      </c>
      <c r="Z362" s="53" t="s">
        <v>3</v>
      </c>
      <c r="AB362">
        <f>IF(Z366&lt;0.2,1,+AB363)</f>
        <v>1</v>
      </c>
    </row>
    <row r="363" spans="3:28" ht="12.75">
      <c r="C363" s="122">
        <f>SUM(C364:E364)</f>
        <v>72</v>
      </c>
      <c r="D363" s="122"/>
      <c r="E363" s="122"/>
      <c r="H363" s="95" t="s">
        <v>30</v>
      </c>
      <c r="I363" s="96"/>
      <c r="J363" s="96"/>
      <c r="K363" s="96"/>
      <c r="L363" s="96"/>
      <c r="M363" s="96"/>
      <c r="N363" s="96"/>
      <c r="O363" s="97"/>
      <c r="P363" s="97"/>
      <c r="Q363" s="97"/>
      <c r="R363" s="97"/>
      <c r="S363" s="97"/>
      <c r="T363" s="97"/>
      <c r="U363" s="97"/>
      <c r="V363" s="96"/>
      <c r="W363" s="2" t="s">
        <v>104</v>
      </c>
      <c r="X363">
        <f>+Y309</f>
        <v>14</v>
      </c>
      <c r="Y363" t="s">
        <v>3</v>
      </c>
      <c r="AB363" s="31">
        <f>MAX(AB364:AB367)</f>
        <v>1</v>
      </c>
    </row>
    <row r="364" spans="3:28" ht="16.5" thickBot="1">
      <c r="C364" s="8">
        <f>IF(J365=0,0,+IF(C368&gt;4*G366,4*G366,+C368))</f>
        <v>36</v>
      </c>
      <c r="D364" s="8">
        <f>+J368</f>
        <v>0</v>
      </c>
      <c r="E364" s="8">
        <f>IF(K365=0,0,+IF(C368&gt;4*G366,4*G366,+C368))</f>
        <v>36</v>
      </c>
      <c r="H364" s="96"/>
      <c r="I364" s="96"/>
      <c r="J364" s="98" t="s">
        <v>14</v>
      </c>
      <c r="K364" s="98" t="s">
        <v>15</v>
      </c>
      <c r="L364" s="96"/>
      <c r="M364" s="96"/>
      <c r="N364" s="96"/>
      <c r="O364" s="97"/>
      <c r="P364" s="97"/>
      <c r="Q364" s="97"/>
      <c r="R364" s="97"/>
      <c r="S364" s="97"/>
      <c r="T364" s="97"/>
      <c r="U364" s="97"/>
      <c r="V364" s="96"/>
      <c r="W364" s="37" t="s">
        <v>63</v>
      </c>
      <c r="X364" s="36">
        <f>+J372</f>
        <v>0.18461538461538463</v>
      </c>
      <c r="AA364">
        <f>+$G$11</f>
        <v>1</v>
      </c>
      <c r="AB364">
        <f>IF(AA364=1,1,+IF(X364&gt;=0.8,1,1.1))</f>
        <v>1</v>
      </c>
    </row>
    <row r="365" spans="1:28" ht="16.5" thickBot="1">
      <c r="A365" s="1">
        <f>+J367</f>
        <v>0</v>
      </c>
      <c r="D365" s="18"/>
      <c r="H365" s="96" t="s">
        <v>13</v>
      </c>
      <c r="I365" s="96"/>
      <c r="J365" s="95">
        <f>+$E$11*100</f>
        <v>330</v>
      </c>
      <c r="K365" s="95">
        <f>+$E$7*100</f>
        <v>450</v>
      </c>
      <c r="L365" s="96" t="s">
        <v>3</v>
      </c>
      <c r="M365" s="96"/>
      <c r="N365" s="96"/>
      <c r="O365" s="99" t="s">
        <v>4</v>
      </c>
      <c r="P365" s="99" t="s">
        <v>5</v>
      </c>
      <c r="Q365" s="99" t="s">
        <v>6</v>
      </c>
      <c r="R365" s="99" t="s">
        <v>7</v>
      </c>
      <c r="S365" s="99" t="s">
        <v>8</v>
      </c>
      <c r="T365" s="99" t="s">
        <v>19</v>
      </c>
      <c r="U365" s="99" t="s">
        <v>20</v>
      </c>
      <c r="V365" s="100"/>
      <c r="W365" s="37" t="s">
        <v>64</v>
      </c>
      <c r="X365" s="36">
        <f>+J385</f>
        <v>0.18461538461538463</v>
      </c>
      <c r="AA365">
        <f>+$G$12</f>
        <v>1</v>
      </c>
      <c r="AB365">
        <f>IF(AA365=1,1,+IF(X365&gt;=0.8,1,1.1))</f>
        <v>1</v>
      </c>
    </row>
    <row r="366" spans="2:28" ht="17.25" thickBot="1" thickTop="1">
      <c r="B366" s="13"/>
      <c r="C366" s="9"/>
      <c r="D366" s="17"/>
      <c r="E366" s="10"/>
      <c r="F366" s="14"/>
      <c r="G366" s="7">
        <f>+J369</f>
        <v>14</v>
      </c>
      <c r="H366" s="96" t="s">
        <v>0</v>
      </c>
      <c r="I366" s="96"/>
      <c r="J366" s="95">
        <f>+$F$23</f>
        <v>50</v>
      </c>
      <c r="K366" s="96" t="s">
        <v>3</v>
      </c>
      <c r="L366" s="96"/>
      <c r="M366" s="96"/>
      <c r="N366" s="100" t="s">
        <v>24</v>
      </c>
      <c r="O366" s="100">
        <f>+D371</f>
        <v>0</v>
      </c>
      <c r="P366" s="100">
        <f>+C368</f>
        <v>36</v>
      </c>
      <c r="Q366" s="101">
        <f>+O366*P366</f>
        <v>0</v>
      </c>
      <c r="R366" s="102">
        <f>+G366+C368/2</f>
        <v>32</v>
      </c>
      <c r="S366" s="101">
        <f>+Q366*R366</f>
        <v>0</v>
      </c>
      <c r="T366" s="101">
        <f>+O366*(P366^3)/12</f>
        <v>0</v>
      </c>
      <c r="U366" s="101">
        <f>+Q366*(S370-R366)^2</f>
        <v>0</v>
      </c>
      <c r="V366" s="100"/>
      <c r="W366" s="37" t="s">
        <v>65</v>
      </c>
      <c r="X366" s="36">
        <f>+J398</f>
        <v>0.1425287356321839</v>
      </c>
      <c r="Y366" s="5" t="s">
        <v>51</v>
      </c>
      <c r="Z366" s="6">
        <f>SUM(X364:X367)/4</f>
        <v>0.15989863910233623</v>
      </c>
      <c r="AA366">
        <f>+$G$13</f>
        <v>1</v>
      </c>
      <c r="AB366">
        <f>IF(AA366=1,1,+IF(X366&gt;=0.8,1,1.1))</f>
        <v>1</v>
      </c>
    </row>
    <row r="367" spans="4:28" ht="15.75">
      <c r="D367" s="11"/>
      <c r="H367" s="96" t="s">
        <v>18</v>
      </c>
      <c r="I367" s="96"/>
      <c r="J367" s="95">
        <f>+$H$23</f>
        <v>0</v>
      </c>
      <c r="K367" s="96" t="s">
        <v>3</v>
      </c>
      <c r="L367" s="96"/>
      <c r="M367" s="96"/>
      <c r="N367" s="100" t="s">
        <v>23</v>
      </c>
      <c r="O367" s="100">
        <f>+D371</f>
        <v>0</v>
      </c>
      <c r="P367" s="100">
        <f>+A365</f>
        <v>0</v>
      </c>
      <c r="Q367" s="101">
        <f>+O367*P367</f>
        <v>0</v>
      </c>
      <c r="R367" s="102">
        <f>-A365/2</f>
        <v>0</v>
      </c>
      <c r="S367" s="101">
        <f>+Q367*R367</f>
        <v>0</v>
      </c>
      <c r="T367" s="101">
        <f>+O367*(P367^3)/12</f>
        <v>0</v>
      </c>
      <c r="U367" s="101">
        <f>+Q367*(S370-R367)^2</f>
        <v>0</v>
      </c>
      <c r="V367" s="100"/>
      <c r="W367" s="37" t="s">
        <v>66</v>
      </c>
      <c r="X367" s="36">
        <f>+J411</f>
        <v>0.12783505154639177</v>
      </c>
      <c r="AA367">
        <f>+$G$14</f>
        <v>1</v>
      </c>
      <c r="AB367">
        <f>IF(AA367=1,1,+IF(X367&gt;=0.8,1,1.1))</f>
        <v>1</v>
      </c>
    </row>
    <row r="368" spans="1:28" ht="12.75">
      <c r="A368" s="1">
        <f>+J366-J367</f>
        <v>50</v>
      </c>
      <c r="C368" s="1">
        <f>+A368-G366</f>
        <v>36</v>
      </c>
      <c r="D368" s="11"/>
      <c r="H368" s="96" t="s">
        <v>1</v>
      </c>
      <c r="I368" s="96"/>
      <c r="J368" s="95">
        <f>+$E$23</f>
        <v>0</v>
      </c>
      <c r="K368" s="96" t="s">
        <v>3</v>
      </c>
      <c r="L368" s="96"/>
      <c r="M368" s="96"/>
      <c r="N368" s="100" t="s">
        <v>22</v>
      </c>
      <c r="O368" s="100">
        <f>+C363</f>
        <v>72</v>
      </c>
      <c r="P368" s="100">
        <f>+G366</f>
        <v>14</v>
      </c>
      <c r="Q368" s="101">
        <f>+O368*P368</f>
        <v>1008</v>
      </c>
      <c r="R368" s="102">
        <f>+G366/2</f>
        <v>7</v>
      </c>
      <c r="S368" s="101">
        <f>+Q368*R368</f>
        <v>7056</v>
      </c>
      <c r="T368" s="101">
        <f>+O368*(P368^3)/12</f>
        <v>16464</v>
      </c>
      <c r="U368" s="101">
        <f>+Q368*(S370-R368)^2</f>
        <v>0</v>
      </c>
      <c r="V368" s="100"/>
      <c r="X368" s="19"/>
      <c r="Y368" s="19"/>
      <c r="Z368" s="19"/>
      <c r="AA368" s="96"/>
      <c r="AB368" s="96"/>
    </row>
    <row r="369" spans="4:28" ht="12.75">
      <c r="D369" s="11"/>
      <c r="H369" s="96" t="s">
        <v>2</v>
      </c>
      <c r="I369" s="96"/>
      <c r="J369" s="95">
        <f>+$Y309</f>
        <v>14</v>
      </c>
      <c r="K369" s="96" t="s">
        <v>3</v>
      </c>
      <c r="L369" s="96"/>
      <c r="M369" s="96"/>
      <c r="N369" s="100"/>
      <c r="O369" s="100"/>
      <c r="P369" s="100"/>
      <c r="Q369" s="103">
        <f>SUM(Q366:Q368)</f>
        <v>1008</v>
      </c>
      <c r="R369" s="100"/>
      <c r="S369" s="103">
        <f>SUM(S366:S368)</f>
        <v>7056</v>
      </c>
      <c r="T369" s="103">
        <f>SUM(T366:T368)</f>
        <v>16464</v>
      </c>
      <c r="U369" s="103">
        <f>SUM(U366:U368)</f>
        <v>0</v>
      </c>
      <c r="V369" s="100"/>
      <c r="W369" s="47" t="s">
        <v>73</v>
      </c>
      <c r="X369" s="47" t="s">
        <v>74</v>
      </c>
      <c r="Y369" s="47" t="s">
        <v>75</v>
      </c>
      <c r="Z369" s="19"/>
      <c r="AA369" s="96"/>
      <c r="AB369" s="96"/>
    </row>
    <row r="370" spans="4:28" ht="13.5" thickBot="1">
      <c r="D370" s="12"/>
      <c r="H370" s="96" t="s">
        <v>10</v>
      </c>
      <c r="I370" s="96"/>
      <c r="J370" s="104">
        <f>+T369+U369</f>
        <v>16464</v>
      </c>
      <c r="K370" s="96" t="s">
        <v>11</v>
      </c>
      <c r="L370" s="96"/>
      <c r="M370" s="96"/>
      <c r="N370" s="100"/>
      <c r="O370" s="100"/>
      <c r="P370" s="100"/>
      <c r="Q370" s="100"/>
      <c r="R370" s="99" t="s">
        <v>9</v>
      </c>
      <c r="S370" s="102">
        <f>+S369/Q369</f>
        <v>7</v>
      </c>
      <c r="T370" s="100"/>
      <c r="U370" s="100"/>
      <c r="V370" s="100"/>
      <c r="W370" s="42">
        <f>$E$39/$AA$3*100</f>
        <v>14.242424242424242</v>
      </c>
      <c r="X370" s="42">
        <f>(+$E$39*100*(0.8+$H$6/200000))/(36+5*$E$38*(Z366-0.2))</f>
        <v>14.505274406056218</v>
      </c>
      <c r="Y370" s="42">
        <f>(+$E$39*100*(0.8+$H$6/200000))/(36+9*$E$38)</f>
        <v>11.435070702643172</v>
      </c>
      <c r="Z370" s="19"/>
      <c r="AA370" s="96"/>
      <c r="AB370" s="96"/>
    </row>
    <row r="371" spans="4:28" ht="13.5" thickBot="1">
      <c r="D371" s="1">
        <f>+J368</f>
        <v>0</v>
      </c>
      <c r="H371" s="96" t="s">
        <v>12</v>
      </c>
      <c r="I371" s="96"/>
      <c r="J371" s="104">
        <f>+T371</f>
        <v>89180</v>
      </c>
      <c r="K371" s="96" t="s">
        <v>11</v>
      </c>
      <c r="L371" s="96"/>
      <c r="M371" s="96"/>
      <c r="N371" s="100" t="s">
        <v>21</v>
      </c>
      <c r="O371" s="100">
        <f>+B362</f>
        <v>390</v>
      </c>
      <c r="P371" s="100">
        <f>+J369</f>
        <v>14</v>
      </c>
      <c r="Q371" s="101">
        <f>+O371*P371</f>
        <v>5460</v>
      </c>
      <c r="R371" s="102"/>
      <c r="S371" s="101"/>
      <c r="T371" s="101">
        <f>+O371*(P371^3)/12</f>
        <v>89180</v>
      </c>
      <c r="U371" s="100"/>
      <c r="V371" s="100"/>
      <c r="W371" s="41">
        <f>INT(W370)</f>
        <v>14</v>
      </c>
      <c r="X371" s="41">
        <f>INT(X370)</f>
        <v>14</v>
      </c>
      <c r="Y371" s="41">
        <f>INT(Y370)</f>
        <v>11</v>
      </c>
      <c r="Z371" s="19"/>
      <c r="AA371" s="96"/>
      <c r="AB371" s="96"/>
    </row>
    <row r="372" spans="8:28" ht="17.25" thickBot="1" thickTop="1">
      <c r="H372" s="96"/>
      <c r="I372" s="105" t="s">
        <v>99</v>
      </c>
      <c r="J372" s="106">
        <f>IF(J366=0,0,+J370/J371)</f>
        <v>0.18461538461538463</v>
      </c>
      <c r="K372" s="96"/>
      <c r="L372" s="96"/>
      <c r="M372" s="96"/>
      <c r="N372" s="96"/>
      <c r="O372" s="97"/>
      <c r="P372" s="97"/>
      <c r="Q372" s="97"/>
      <c r="R372" s="97"/>
      <c r="S372" s="97"/>
      <c r="T372" s="97"/>
      <c r="U372" s="97"/>
      <c r="V372" s="96"/>
      <c r="W372" s="42">
        <f>+W370-W371</f>
        <v>0.2424242424242422</v>
      </c>
      <c r="X372" s="42">
        <f>+X370-X371</f>
        <v>0.505274406056218</v>
      </c>
      <c r="Y372" s="42">
        <f>+Y370-Y371</f>
        <v>0.4350707026431717</v>
      </c>
      <c r="Z372" s="19"/>
      <c r="AA372" s="96"/>
      <c r="AB372" s="96"/>
    </row>
    <row r="373" spans="1:28" ht="15" thickTop="1">
      <c r="A373" s="25"/>
      <c r="B373" s="25"/>
      <c r="C373" s="25"/>
      <c r="D373" s="25"/>
      <c r="E373" s="25"/>
      <c r="F373" s="25"/>
      <c r="G373" s="25"/>
      <c r="H373" s="107" t="s">
        <v>100</v>
      </c>
      <c r="I373" s="108"/>
      <c r="J373" s="108"/>
      <c r="K373" s="108"/>
      <c r="L373" s="108"/>
      <c r="M373" s="108"/>
      <c r="N373" s="108"/>
      <c r="O373" s="109"/>
      <c r="P373" s="109"/>
      <c r="Q373" s="109"/>
      <c r="R373" s="109"/>
      <c r="S373" s="109"/>
      <c r="T373" s="109"/>
      <c r="U373" s="109"/>
      <c r="V373" s="108"/>
      <c r="W373" s="48">
        <f>IF(W372&gt;0.39,+W371+1,+W371)</f>
        <v>14</v>
      </c>
      <c r="X373" s="48">
        <f>IF(X372&gt;0.39,+X371+1,+X371)</f>
        <v>15</v>
      </c>
      <c r="Y373" s="48">
        <f>IF(Y372&gt;0.39,+Y371+1,+Y371)</f>
        <v>12</v>
      </c>
      <c r="Z373" s="19"/>
      <c r="AA373" s="96"/>
      <c r="AB373" s="96"/>
    </row>
    <row r="374" spans="8:28" ht="12.75">
      <c r="H374" s="96"/>
      <c r="I374" s="96"/>
      <c r="J374" s="96"/>
      <c r="K374" s="96"/>
      <c r="L374" s="96"/>
      <c r="M374" s="96"/>
      <c r="N374" s="96"/>
      <c r="O374" s="97"/>
      <c r="P374" s="97"/>
      <c r="Q374" s="97"/>
      <c r="R374" s="97"/>
      <c r="S374" s="97"/>
      <c r="T374" s="97"/>
      <c r="U374" s="97"/>
      <c r="V374" s="96"/>
      <c r="W374" s="41">
        <f>5*2.54</f>
        <v>12.7</v>
      </c>
      <c r="X374" s="41">
        <f>5*2.54</f>
        <v>12.7</v>
      </c>
      <c r="Y374" s="41">
        <f>3.5*2.54</f>
        <v>8.89</v>
      </c>
      <c r="Z374" s="19"/>
      <c r="AA374" s="96"/>
      <c r="AB374" s="96"/>
    </row>
    <row r="375" spans="2:28" ht="12.75">
      <c r="B375" s="122">
        <f>IF(J378=0,+K378/2+D377/2,+IF(K378=0,+J378/2+D377/2,+(J378+K378)/2))</f>
        <v>390</v>
      </c>
      <c r="C375" s="122"/>
      <c r="D375" s="122"/>
      <c r="E375" s="122"/>
      <c r="F375" s="122"/>
      <c r="H375" s="96"/>
      <c r="I375" s="96"/>
      <c r="J375" s="96"/>
      <c r="K375" s="96"/>
      <c r="L375" s="96"/>
      <c r="M375" s="96"/>
      <c r="N375" s="96"/>
      <c r="O375" s="97"/>
      <c r="P375" s="97"/>
      <c r="Q375" s="97"/>
      <c r="R375" s="97"/>
      <c r="S375" s="97"/>
      <c r="T375" s="97"/>
      <c r="U375" s="97"/>
      <c r="V375" s="96"/>
      <c r="W375" s="48">
        <f>IF(W373&lt;W374,+ROUND(W374,0),+W373)</f>
        <v>14</v>
      </c>
      <c r="X375" s="48">
        <f>IF(X373&lt;X374,+ROUND(X374,0),+X373)</f>
        <v>15</v>
      </c>
      <c r="Y375" s="48">
        <f>IF(Y373&lt;Y374,+ROUND(Y374,0),+Y373)</f>
        <v>12</v>
      </c>
      <c r="Z375" s="19"/>
      <c r="AA375" s="96"/>
      <c r="AB375" s="96"/>
    </row>
    <row r="376" spans="3:28" ht="12.75">
      <c r="C376" s="122">
        <f>SUM(C377:E377)</f>
        <v>72</v>
      </c>
      <c r="D376" s="122"/>
      <c r="E376" s="122"/>
      <c r="H376" s="95" t="s">
        <v>31</v>
      </c>
      <c r="I376" s="96"/>
      <c r="J376" s="96"/>
      <c r="K376" s="96"/>
      <c r="L376" s="96"/>
      <c r="M376" s="96"/>
      <c r="N376" s="96"/>
      <c r="O376" s="97"/>
      <c r="P376" s="97"/>
      <c r="Q376" s="97"/>
      <c r="R376" s="97"/>
      <c r="S376" s="97"/>
      <c r="T376" s="97"/>
      <c r="U376" s="97"/>
      <c r="V376" s="96"/>
      <c r="Z376" s="19"/>
      <c r="AA376" s="96"/>
      <c r="AB376" s="96"/>
    </row>
    <row r="377" spans="3:28" ht="13.5" thickBot="1">
      <c r="C377" s="8">
        <f>IF(J378=0,0,+IF(C381&gt;4*G379,4*G379,+C381))</f>
        <v>36</v>
      </c>
      <c r="D377" s="8">
        <f>+J381</f>
        <v>0</v>
      </c>
      <c r="E377" s="8">
        <f>IF(K378=0,0,+IF(C381&gt;4*G379,4*G379,+C381))</f>
        <v>36</v>
      </c>
      <c r="H377" s="96"/>
      <c r="I377" s="96"/>
      <c r="J377" s="98" t="s">
        <v>14</v>
      </c>
      <c r="K377" s="98" t="s">
        <v>15</v>
      </c>
      <c r="L377" s="96"/>
      <c r="M377" s="96"/>
      <c r="N377" s="96"/>
      <c r="O377" s="97"/>
      <c r="P377" s="97"/>
      <c r="Q377" s="97"/>
      <c r="R377" s="97"/>
      <c r="S377" s="97"/>
      <c r="T377" s="97"/>
      <c r="U377" s="97"/>
      <c r="V377" s="96"/>
      <c r="Z377" s="19"/>
      <c r="AA377" s="96"/>
      <c r="AB377" s="96"/>
    </row>
    <row r="378" spans="1:28" ht="13.5" thickBot="1">
      <c r="A378" s="1">
        <f>+J380</f>
        <v>0</v>
      </c>
      <c r="D378" s="18"/>
      <c r="H378" s="96" t="s">
        <v>13</v>
      </c>
      <c r="I378" s="96"/>
      <c r="J378" s="95">
        <f>+$E$7*100</f>
        <v>450</v>
      </c>
      <c r="K378" s="95">
        <f>+$E$12*100</f>
        <v>330</v>
      </c>
      <c r="L378" s="96" t="s">
        <v>3</v>
      </c>
      <c r="M378" s="96"/>
      <c r="N378" s="96"/>
      <c r="O378" s="99" t="s">
        <v>4</v>
      </c>
      <c r="P378" s="99" t="s">
        <v>5</v>
      </c>
      <c r="Q378" s="99" t="s">
        <v>6</v>
      </c>
      <c r="R378" s="99" t="s">
        <v>7</v>
      </c>
      <c r="S378" s="99" t="s">
        <v>8</v>
      </c>
      <c r="T378" s="99" t="s">
        <v>19</v>
      </c>
      <c r="U378" s="99" t="s">
        <v>20</v>
      </c>
      <c r="V378" s="100"/>
      <c r="Z378" s="19"/>
      <c r="AA378" s="96"/>
      <c r="AB378" s="96"/>
    </row>
    <row r="379" spans="2:28" ht="13.5" thickBot="1">
      <c r="B379" s="13"/>
      <c r="C379" s="9"/>
      <c r="D379" s="17"/>
      <c r="E379" s="10"/>
      <c r="F379" s="14"/>
      <c r="G379" s="7">
        <f>+J382</f>
        <v>14</v>
      </c>
      <c r="H379" s="96" t="s">
        <v>0</v>
      </c>
      <c r="I379" s="96"/>
      <c r="J379" s="95">
        <f>+$F$24</f>
        <v>50</v>
      </c>
      <c r="K379" s="96" t="s">
        <v>3</v>
      </c>
      <c r="L379" s="96"/>
      <c r="M379" s="96"/>
      <c r="N379" s="100" t="s">
        <v>24</v>
      </c>
      <c r="O379" s="100">
        <f>+D384</f>
        <v>0</v>
      </c>
      <c r="P379" s="100">
        <f>+C381</f>
        <v>36</v>
      </c>
      <c r="Q379" s="101">
        <f>+O379*P379</f>
        <v>0</v>
      </c>
      <c r="R379" s="102">
        <f>+G379+C381/2</f>
        <v>32</v>
      </c>
      <c r="S379" s="101">
        <f>+Q379*R379</f>
        <v>0</v>
      </c>
      <c r="T379" s="101">
        <f>+O379*(P379^3)/12</f>
        <v>0</v>
      </c>
      <c r="U379" s="101">
        <f>+Q379*(S383-R379)^2</f>
        <v>0</v>
      </c>
      <c r="V379" s="100"/>
      <c r="Z379" s="19"/>
      <c r="AA379" s="96"/>
      <c r="AB379" s="96"/>
    </row>
    <row r="380" spans="4:28" ht="12.75">
      <c r="D380" s="11"/>
      <c r="H380" s="96" t="s">
        <v>18</v>
      </c>
      <c r="I380" s="96"/>
      <c r="J380" s="95">
        <f>+$H$24</f>
        <v>0</v>
      </c>
      <c r="K380" s="96" t="s">
        <v>3</v>
      </c>
      <c r="L380" s="96"/>
      <c r="M380" s="96"/>
      <c r="N380" s="100" t="s">
        <v>23</v>
      </c>
      <c r="O380" s="100">
        <f>+D384</f>
        <v>0</v>
      </c>
      <c r="P380" s="100">
        <f>+A378</f>
        <v>0</v>
      </c>
      <c r="Q380" s="101">
        <f>+O380*P380</f>
        <v>0</v>
      </c>
      <c r="R380" s="102">
        <f>-A378/2</f>
        <v>0</v>
      </c>
      <c r="S380" s="101">
        <f>+Q380*R380</f>
        <v>0</v>
      </c>
      <c r="T380" s="101">
        <f>+O380*(P380^3)/12</f>
        <v>0</v>
      </c>
      <c r="U380" s="101">
        <f>+Q380*(S383-R380)^2</f>
        <v>0</v>
      </c>
      <c r="V380" s="100"/>
      <c r="Z380" s="19"/>
      <c r="AA380" s="96"/>
      <c r="AB380" s="96"/>
    </row>
    <row r="381" spans="1:28" ht="12.75">
      <c r="A381" s="1">
        <f>+J379-J380</f>
        <v>50</v>
      </c>
      <c r="C381" s="1">
        <f>+A381-G379</f>
        <v>36</v>
      </c>
      <c r="D381" s="11"/>
      <c r="H381" s="96" t="s">
        <v>1</v>
      </c>
      <c r="I381" s="96"/>
      <c r="J381" s="95">
        <f>+$E$24</f>
        <v>0</v>
      </c>
      <c r="K381" s="96" t="s">
        <v>3</v>
      </c>
      <c r="L381" s="96"/>
      <c r="M381" s="96"/>
      <c r="N381" s="100" t="s">
        <v>22</v>
      </c>
      <c r="O381" s="100">
        <f>+C376</f>
        <v>72</v>
      </c>
      <c r="P381" s="100">
        <f>+G379</f>
        <v>14</v>
      </c>
      <c r="Q381" s="101">
        <f>+O381*P381</f>
        <v>1008</v>
      </c>
      <c r="R381" s="102">
        <f>+G379/2</f>
        <v>7</v>
      </c>
      <c r="S381" s="101">
        <f>+Q381*R381</f>
        <v>7056</v>
      </c>
      <c r="T381" s="101">
        <f>+O381*(P381^3)/12</f>
        <v>16464</v>
      </c>
      <c r="U381" s="101">
        <f>+Q381*(S383-R381)^2</f>
        <v>0</v>
      </c>
      <c r="V381" s="100"/>
      <c r="W381" s="96"/>
      <c r="X381" s="96"/>
      <c r="Y381" s="96"/>
      <c r="Z381" s="96"/>
      <c r="AA381" s="96"/>
      <c r="AB381" s="96"/>
    </row>
    <row r="382" spans="4:28" ht="12.75">
      <c r="D382" s="11"/>
      <c r="H382" s="96" t="s">
        <v>2</v>
      </c>
      <c r="I382" s="96"/>
      <c r="J382" s="95">
        <f>+$Y309</f>
        <v>14</v>
      </c>
      <c r="K382" s="96" t="s">
        <v>3</v>
      </c>
      <c r="L382" s="96"/>
      <c r="M382" s="96"/>
      <c r="N382" s="100"/>
      <c r="O382" s="100"/>
      <c r="P382" s="100"/>
      <c r="Q382" s="103">
        <f>SUM(Q379:Q381)</f>
        <v>1008</v>
      </c>
      <c r="R382" s="100"/>
      <c r="S382" s="103">
        <f>SUM(S379:S381)</f>
        <v>7056</v>
      </c>
      <c r="T382" s="103">
        <f>SUM(T379:T381)</f>
        <v>16464</v>
      </c>
      <c r="U382" s="103">
        <f>SUM(U379:U381)</f>
        <v>0</v>
      </c>
      <c r="V382" s="100"/>
      <c r="W382" s="96"/>
      <c r="X382" s="96"/>
      <c r="Y382" s="96"/>
      <c r="Z382" s="96"/>
      <c r="AA382" s="96"/>
      <c r="AB382" s="96"/>
    </row>
    <row r="383" spans="4:28" ht="13.5" thickBot="1">
      <c r="D383" s="12"/>
      <c r="H383" s="96" t="s">
        <v>10</v>
      </c>
      <c r="I383" s="96"/>
      <c r="J383" s="104">
        <f>+T382+U382</f>
        <v>16464</v>
      </c>
      <c r="K383" s="96" t="s">
        <v>11</v>
      </c>
      <c r="L383" s="96"/>
      <c r="M383" s="96"/>
      <c r="N383" s="100"/>
      <c r="O383" s="100"/>
      <c r="P383" s="100"/>
      <c r="Q383" s="100"/>
      <c r="R383" s="99" t="s">
        <v>9</v>
      </c>
      <c r="S383" s="102">
        <f>+S382/Q382</f>
        <v>7</v>
      </c>
      <c r="T383" s="100"/>
      <c r="U383" s="100"/>
      <c r="V383" s="100"/>
      <c r="W383" s="96"/>
      <c r="X383" s="96"/>
      <c r="Y383" s="96"/>
      <c r="Z383" s="96"/>
      <c r="AA383" s="96"/>
      <c r="AB383" s="96"/>
    </row>
    <row r="384" spans="4:28" ht="13.5" thickBot="1">
      <c r="D384" s="1">
        <f>+J381</f>
        <v>0</v>
      </c>
      <c r="H384" s="96" t="s">
        <v>12</v>
      </c>
      <c r="I384" s="96"/>
      <c r="J384" s="104">
        <f>+T384</f>
        <v>89180</v>
      </c>
      <c r="K384" s="96" t="s">
        <v>11</v>
      </c>
      <c r="L384" s="96"/>
      <c r="M384" s="96"/>
      <c r="N384" s="100" t="s">
        <v>21</v>
      </c>
      <c r="O384" s="100">
        <f>+B375</f>
        <v>390</v>
      </c>
      <c r="P384" s="100">
        <f>+J382</f>
        <v>14</v>
      </c>
      <c r="Q384" s="101">
        <f>+O384*P384</f>
        <v>5460</v>
      </c>
      <c r="R384" s="102"/>
      <c r="S384" s="101"/>
      <c r="T384" s="101">
        <f>+O384*(P384^3)/12</f>
        <v>89180</v>
      </c>
      <c r="U384" s="100"/>
      <c r="V384" s="100"/>
      <c r="W384" s="96"/>
      <c r="X384" s="96"/>
      <c r="Y384" s="96"/>
      <c r="Z384" s="96"/>
      <c r="AA384" s="96"/>
      <c r="AB384" s="96"/>
    </row>
    <row r="385" spans="8:28" ht="17.25" thickBot="1" thickTop="1">
      <c r="H385" s="96"/>
      <c r="I385" s="105" t="s">
        <v>101</v>
      </c>
      <c r="J385" s="106">
        <f>IF(J379=0,0,+J383/J384)</f>
        <v>0.18461538461538463</v>
      </c>
      <c r="K385" s="96"/>
      <c r="L385" s="96"/>
      <c r="M385" s="96"/>
      <c r="N385" s="96"/>
      <c r="O385" s="97"/>
      <c r="P385" s="97"/>
      <c r="Q385" s="97"/>
      <c r="R385" s="97"/>
      <c r="S385" s="97"/>
      <c r="T385" s="97"/>
      <c r="U385" s="97"/>
      <c r="V385" s="96"/>
      <c r="W385" s="96"/>
      <c r="X385" s="96"/>
      <c r="Y385" s="96"/>
      <c r="Z385" s="96"/>
      <c r="AA385" s="96"/>
      <c r="AB385" s="96"/>
    </row>
    <row r="386" spans="1:28" ht="15" thickTop="1">
      <c r="A386" s="25"/>
      <c r="B386" s="25"/>
      <c r="C386" s="25"/>
      <c r="D386" s="25"/>
      <c r="E386" s="25"/>
      <c r="F386" s="25"/>
      <c r="G386" s="25"/>
      <c r="H386" s="107" t="s">
        <v>100</v>
      </c>
      <c r="I386" s="108"/>
      <c r="J386" s="108"/>
      <c r="K386" s="108"/>
      <c r="L386" s="108"/>
      <c r="M386" s="108"/>
      <c r="N386" s="108"/>
      <c r="O386" s="109"/>
      <c r="P386" s="109"/>
      <c r="Q386" s="109"/>
      <c r="R386" s="109"/>
      <c r="S386" s="109"/>
      <c r="T386" s="109"/>
      <c r="U386" s="109"/>
      <c r="V386" s="108"/>
      <c r="W386" s="96"/>
      <c r="X386" s="96"/>
      <c r="Y386" s="96"/>
      <c r="Z386" s="96"/>
      <c r="AA386" s="96"/>
      <c r="AB386" s="96"/>
    </row>
    <row r="387" spans="8:28" ht="12.75">
      <c r="H387" s="96"/>
      <c r="I387" s="96"/>
      <c r="J387" s="96"/>
      <c r="K387" s="96"/>
      <c r="L387" s="96"/>
      <c r="M387" s="96"/>
      <c r="N387" s="96"/>
      <c r="O387" s="97"/>
      <c r="P387" s="97"/>
      <c r="Q387" s="97"/>
      <c r="R387" s="97"/>
      <c r="S387" s="97"/>
      <c r="T387" s="97"/>
      <c r="U387" s="97"/>
      <c r="V387" s="96"/>
      <c r="W387" s="96"/>
      <c r="X387" s="96"/>
      <c r="Y387" s="96"/>
      <c r="Z387" s="96"/>
      <c r="AA387" s="96"/>
      <c r="AB387" s="96"/>
    </row>
    <row r="388" spans="2:28" ht="12.75">
      <c r="B388" s="122">
        <f>IF(J391=0,+K391/2+D390/2,+IF(K391=0,+J391/2+D390/2,+(J391+K391)/2))</f>
        <v>435</v>
      </c>
      <c r="C388" s="122"/>
      <c r="D388" s="122"/>
      <c r="E388" s="122"/>
      <c r="F388" s="122"/>
      <c r="H388" s="96"/>
      <c r="I388" s="96"/>
      <c r="J388" s="96"/>
      <c r="K388" s="96"/>
      <c r="L388" s="96"/>
      <c r="M388" s="96"/>
      <c r="N388" s="96"/>
      <c r="O388" s="97"/>
      <c r="P388" s="97"/>
      <c r="Q388" s="97"/>
      <c r="R388" s="97"/>
      <c r="S388" s="97"/>
      <c r="T388" s="97"/>
      <c r="U388" s="97"/>
      <c r="V388" s="96"/>
      <c r="W388" s="96"/>
      <c r="X388" s="96"/>
      <c r="Y388" s="96"/>
      <c r="Z388" s="96"/>
      <c r="AA388" s="96"/>
      <c r="AB388" s="96"/>
    </row>
    <row r="389" spans="3:28" ht="12.75">
      <c r="C389" s="122">
        <f>SUM(C390:E390)</f>
        <v>62</v>
      </c>
      <c r="D389" s="122"/>
      <c r="E389" s="122"/>
      <c r="H389" s="95" t="s">
        <v>32</v>
      </c>
      <c r="I389" s="96"/>
      <c r="J389" s="96"/>
      <c r="K389" s="96"/>
      <c r="L389" s="96"/>
      <c r="M389" s="96"/>
      <c r="N389" s="96"/>
      <c r="O389" s="97"/>
      <c r="P389" s="97"/>
      <c r="Q389" s="97"/>
      <c r="R389" s="97"/>
      <c r="S389" s="97"/>
      <c r="T389" s="97"/>
      <c r="U389" s="97"/>
      <c r="V389" s="96"/>
      <c r="W389" s="96"/>
      <c r="X389" s="96"/>
      <c r="Y389" s="96"/>
      <c r="Z389" s="96"/>
      <c r="AA389" s="96"/>
      <c r="AB389" s="96"/>
    </row>
    <row r="390" spans="3:28" ht="13.5" thickBot="1">
      <c r="C390" s="8">
        <f>IF(J391=0,0,+IF(C394&gt;4*G392,4*G392,+C394))</f>
        <v>31</v>
      </c>
      <c r="D390" s="8">
        <f>+J394</f>
        <v>0</v>
      </c>
      <c r="E390" s="8">
        <f>IF(K391=0,0,+IF(C394&gt;4*G392,4*G392,+C394))</f>
        <v>31</v>
      </c>
      <c r="H390" s="96"/>
      <c r="I390" s="96"/>
      <c r="J390" s="98" t="s">
        <v>14</v>
      </c>
      <c r="K390" s="98" t="s">
        <v>15</v>
      </c>
      <c r="L390" s="96"/>
      <c r="M390" s="96"/>
      <c r="N390" s="96"/>
      <c r="O390" s="97"/>
      <c r="P390" s="97"/>
      <c r="Q390" s="97"/>
      <c r="R390" s="97"/>
      <c r="S390" s="97"/>
      <c r="T390" s="97"/>
      <c r="U390" s="97"/>
      <c r="V390" s="96"/>
      <c r="W390" s="96"/>
      <c r="X390" s="96"/>
      <c r="Y390" s="96"/>
      <c r="Z390" s="96"/>
      <c r="AA390" s="96"/>
      <c r="AB390" s="96"/>
    </row>
    <row r="391" spans="1:28" ht="13.5" thickBot="1">
      <c r="A391" s="1">
        <f>+J393</f>
        <v>0</v>
      </c>
      <c r="D391" s="18"/>
      <c r="H391" s="96" t="s">
        <v>13</v>
      </c>
      <c r="I391" s="96"/>
      <c r="J391" s="95">
        <f>+$E$13*100</f>
        <v>400</v>
      </c>
      <c r="K391" s="95">
        <f>+$E$8*100</f>
        <v>470</v>
      </c>
      <c r="L391" s="96" t="s">
        <v>3</v>
      </c>
      <c r="M391" s="96"/>
      <c r="N391" s="96"/>
      <c r="O391" s="99" t="s">
        <v>4</v>
      </c>
      <c r="P391" s="99" t="s">
        <v>5</v>
      </c>
      <c r="Q391" s="99" t="s">
        <v>6</v>
      </c>
      <c r="R391" s="99" t="s">
        <v>7</v>
      </c>
      <c r="S391" s="99" t="s">
        <v>8</v>
      </c>
      <c r="T391" s="99" t="s">
        <v>19</v>
      </c>
      <c r="U391" s="99" t="s">
        <v>20</v>
      </c>
      <c r="V391" s="100"/>
      <c r="W391" s="96"/>
      <c r="X391" s="96"/>
      <c r="Y391" s="96"/>
      <c r="Z391" s="96"/>
      <c r="AA391" s="96"/>
      <c r="AB391" s="96"/>
    </row>
    <row r="392" spans="2:28" ht="13.5" thickBot="1">
      <c r="B392" s="13"/>
      <c r="C392" s="9"/>
      <c r="D392" s="17"/>
      <c r="E392" s="10"/>
      <c r="F392" s="14"/>
      <c r="G392" s="7">
        <f>+J395</f>
        <v>14</v>
      </c>
      <c r="H392" s="96" t="s">
        <v>0</v>
      </c>
      <c r="I392" s="96"/>
      <c r="J392" s="95">
        <f>+$F$25</f>
        <v>45</v>
      </c>
      <c r="K392" s="96" t="s">
        <v>3</v>
      </c>
      <c r="L392" s="96"/>
      <c r="M392" s="96"/>
      <c r="N392" s="100" t="s">
        <v>24</v>
      </c>
      <c r="O392" s="100">
        <f>+D397</f>
        <v>0</v>
      </c>
      <c r="P392" s="100">
        <f>+C394</f>
        <v>31</v>
      </c>
      <c r="Q392" s="101">
        <f>+O392*P392</f>
        <v>0</v>
      </c>
      <c r="R392" s="102">
        <f>+G392+C394/2</f>
        <v>29.5</v>
      </c>
      <c r="S392" s="101">
        <f>+Q392*R392</f>
        <v>0</v>
      </c>
      <c r="T392" s="101">
        <f>+O392*(P392^3)/12</f>
        <v>0</v>
      </c>
      <c r="U392" s="101">
        <f>+Q392*(S396-R392)^2</f>
        <v>0</v>
      </c>
      <c r="V392" s="100"/>
      <c r="W392" s="96"/>
      <c r="X392" s="96"/>
      <c r="Y392" s="96"/>
      <c r="Z392" s="96"/>
      <c r="AA392" s="96"/>
      <c r="AB392" s="96"/>
    </row>
    <row r="393" spans="4:28" ht="12.75">
      <c r="D393" s="11"/>
      <c r="H393" s="96" t="s">
        <v>18</v>
      </c>
      <c r="I393" s="96"/>
      <c r="J393" s="95">
        <f>+$H$25</f>
        <v>0</v>
      </c>
      <c r="K393" s="96" t="s">
        <v>3</v>
      </c>
      <c r="L393" s="96"/>
      <c r="M393" s="96"/>
      <c r="N393" s="100" t="s">
        <v>23</v>
      </c>
      <c r="O393" s="100">
        <f>+D397</f>
        <v>0</v>
      </c>
      <c r="P393" s="100">
        <f>+A391</f>
        <v>0</v>
      </c>
      <c r="Q393" s="101">
        <f>+O393*P393</f>
        <v>0</v>
      </c>
      <c r="R393" s="102">
        <f>-A391/2</f>
        <v>0</v>
      </c>
      <c r="S393" s="101">
        <f>+Q393*R393</f>
        <v>0</v>
      </c>
      <c r="T393" s="101">
        <f>+O393*(P393^3)/12</f>
        <v>0</v>
      </c>
      <c r="U393" s="101">
        <f>+Q393*(S396-R393)^2</f>
        <v>0</v>
      </c>
      <c r="V393" s="100"/>
      <c r="W393" s="96"/>
      <c r="X393" s="96"/>
      <c r="Y393" s="96"/>
      <c r="Z393" s="96"/>
      <c r="AA393" s="96"/>
      <c r="AB393" s="96"/>
    </row>
    <row r="394" spans="1:28" ht="12.75">
      <c r="A394" s="1">
        <f>+J392-J393</f>
        <v>45</v>
      </c>
      <c r="C394" s="1">
        <f>+A394-G392</f>
        <v>31</v>
      </c>
      <c r="D394" s="11"/>
      <c r="H394" s="96" t="s">
        <v>1</v>
      </c>
      <c r="I394" s="96"/>
      <c r="J394" s="95">
        <f>+$E$25</f>
        <v>0</v>
      </c>
      <c r="K394" s="96" t="s">
        <v>3</v>
      </c>
      <c r="L394" s="96"/>
      <c r="M394" s="96"/>
      <c r="N394" s="100" t="s">
        <v>22</v>
      </c>
      <c r="O394" s="100">
        <f>+C389</f>
        <v>62</v>
      </c>
      <c r="P394" s="100">
        <f>+G392</f>
        <v>14</v>
      </c>
      <c r="Q394" s="101">
        <f>+O394*P394</f>
        <v>868</v>
      </c>
      <c r="R394" s="102">
        <f>+G392/2</f>
        <v>7</v>
      </c>
      <c r="S394" s="101">
        <f>+Q394*R394</f>
        <v>6076</v>
      </c>
      <c r="T394" s="101">
        <f>+O394*(P394^3)/12</f>
        <v>14177.333333333334</v>
      </c>
      <c r="U394" s="101">
        <f>+Q394*(S396-R394)^2</f>
        <v>0</v>
      </c>
      <c r="V394" s="100"/>
      <c r="W394" s="96"/>
      <c r="X394" s="96"/>
      <c r="Y394" s="96"/>
      <c r="Z394" s="96"/>
      <c r="AA394" s="96"/>
      <c r="AB394" s="96"/>
    </row>
    <row r="395" spans="4:28" ht="12.75">
      <c r="D395" s="11"/>
      <c r="H395" s="96" t="s">
        <v>2</v>
      </c>
      <c r="I395" s="96"/>
      <c r="J395" s="95">
        <f>+$Y309</f>
        <v>14</v>
      </c>
      <c r="K395" s="96" t="s">
        <v>3</v>
      </c>
      <c r="L395" s="96"/>
      <c r="M395" s="96"/>
      <c r="N395" s="100"/>
      <c r="O395" s="100"/>
      <c r="P395" s="100"/>
      <c r="Q395" s="103">
        <f>SUM(Q392:Q394)</f>
        <v>868</v>
      </c>
      <c r="R395" s="100"/>
      <c r="S395" s="103">
        <f>SUM(S392:S394)</f>
        <v>6076</v>
      </c>
      <c r="T395" s="103">
        <f>SUM(T392:T394)</f>
        <v>14177.333333333334</v>
      </c>
      <c r="U395" s="103">
        <f>SUM(U392:U394)</f>
        <v>0</v>
      </c>
      <c r="V395" s="100"/>
      <c r="W395" s="96"/>
      <c r="X395" s="96"/>
      <c r="Y395" s="96"/>
      <c r="Z395" s="96"/>
      <c r="AA395" s="96"/>
      <c r="AB395" s="96"/>
    </row>
    <row r="396" spans="4:28" ht="13.5" thickBot="1">
      <c r="D396" s="12"/>
      <c r="H396" s="96" t="s">
        <v>10</v>
      </c>
      <c r="I396" s="96"/>
      <c r="J396" s="104">
        <f>+T395+U395</f>
        <v>14177.333333333334</v>
      </c>
      <c r="K396" s="96" t="s">
        <v>11</v>
      </c>
      <c r="L396" s="96"/>
      <c r="M396" s="96"/>
      <c r="N396" s="100"/>
      <c r="O396" s="100"/>
      <c r="P396" s="100"/>
      <c r="Q396" s="100"/>
      <c r="R396" s="99" t="s">
        <v>9</v>
      </c>
      <c r="S396" s="102">
        <f>+S395/Q395</f>
        <v>7</v>
      </c>
      <c r="T396" s="100"/>
      <c r="U396" s="100"/>
      <c r="V396" s="100"/>
      <c r="W396" s="96"/>
      <c r="X396" s="96"/>
      <c r="Y396" s="96"/>
      <c r="Z396" s="96"/>
      <c r="AA396" s="96"/>
      <c r="AB396" s="96"/>
    </row>
    <row r="397" spans="4:28" ht="13.5" thickBot="1">
      <c r="D397" s="1">
        <f>+J394</f>
        <v>0</v>
      </c>
      <c r="H397" s="96" t="s">
        <v>12</v>
      </c>
      <c r="I397" s="96"/>
      <c r="J397" s="104">
        <f>+T397</f>
        <v>99470</v>
      </c>
      <c r="K397" s="96" t="s">
        <v>11</v>
      </c>
      <c r="L397" s="96"/>
      <c r="M397" s="96"/>
      <c r="N397" s="100" t="s">
        <v>21</v>
      </c>
      <c r="O397" s="100">
        <f>+B388</f>
        <v>435</v>
      </c>
      <c r="P397" s="100">
        <f>+J395</f>
        <v>14</v>
      </c>
      <c r="Q397" s="101">
        <f>+O397*P397</f>
        <v>6090</v>
      </c>
      <c r="R397" s="102"/>
      <c r="S397" s="101"/>
      <c r="T397" s="101">
        <f>+O397*(P397^3)/12</f>
        <v>99470</v>
      </c>
      <c r="U397" s="100"/>
      <c r="V397" s="100"/>
      <c r="W397" s="96"/>
      <c r="X397" s="96"/>
      <c r="Y397" s="96"/>
      <c r="Z397" s="96"/>
      <c r="AA397" s="96"/>
      <c r="AB397" s="96"/>
    </row>
    <row r="398" spans="8:28" ht="17.25" thickBot="1" thickTop="1">
      <c r="H398" s="96"/>
      <c r="I398" s="105" t="s">
        <v>102</v>
      </c>
      <c r="J398" s="106">
        <f>IF(J392=0,0,+J396/J397)</f>
        <v>0.1425287356321839</v>
      </c>
      <c r="K398" s="96"/>
      <c r="L398" s="96"/>
      <c r="M398" s="96"/>
      <c r="N398" s="96"/>
      <c r="O398" s="97"/>
      <c r="P398" s="97"/>
      <c r="Q398" s="97"/>
      <c r="R398" s="97"/>
      <c r="S398" s="97"/>
      <c r="T398" s="97"/>
      <c r="U398" s="97"/>
      <c r="V398" s="96"/>
      <c r="W398" s="96"/>
      <c r="X398" s="96"/>
      <c r="Y398" s="96"/>
      <c r="Z398" s="96"/>
      <c r="AA398" s="96"/>
      <c r="AB398" s="96"/>
    </row>
    <row r="399" spans="1:28" ht="15" thickTop="1">
      <c r="A399" s="25"/>
      <c r="B399" s="25"/>
      <c r="C399" s="25"/>
      <c r="D399" s="25"/>
      <c r="E399" s="25"/>
      <c r="F399" s="25"/>
      <c r="G399" s="25"/>
      <c r="H399" s="107" t="s">
        <v>100</v>
      </c>
      <c r="I399" s="108"/>
      <c r="J399" s="108"/>
      <c r="K399" s="108"/>
      <c r="L399" s="108"/>
      <c r="M399" s="108"/>
      <c r="N399" s="108"/>
      <c r="O399" s="109"/>
      <c r="P399" s="109"/>
      <c r="Q399" s="109"/>
      <c r="R399" s="109"/>
      <c r="S399" s="109"/>
      <c r="T399" s="109"/>
      <c r="U399" s="109"/>
      <c r="V399" s="108"/>
      <c r="W399" s="96"/>
      <c r="X399" s="96"/>
      <c r="Y399" s="96"/>
      <c r="Z399" s="96"/>
      <c r="AA399" s="96"/>
      <c r="AB399" s="96"/>
    </row>
    <row r="400" spans="8:28" ht="12.75">
      <c r="H400" s="96"/>
      <c r="I400" s="96"/>
      <c r="J400" s="96"/>
      <c r="K400" s="96"/>
      <c r="L400" s="96"/>
      <c r="M400" s="96"/>
      <c r="N400" s="96"/>
      <c r="O400" s="97"/>
      <c r="P400" s="97"/>
      <c r="Q400" s="97"/>
      <c r="R400" s="97"/>
      <c r="S400" s="97"/>
      <c r="T400" s="97"/>
      <c r="U400" s="97"/>
      <c r="V400" s="96"/>
      <c r="W400" s="96"/>
      <c r="X400" s="96"/>
      <c r="Y400" s="96"/>
      <c r="Z400" s="96"/>
      <c r="AA400" s="96"/>
      <c r="AB400" s="96"/>
    </row>
    <row r="401" spans="2:28" ht="12.75">
      <c r="B401" s="122">
        <f>IF(J404=0,+K404/2+D403/2,+IF(K404=0,+J404/2+D403/2,+(J404+K404)/2))</f>
        <v>485</v>
      </c>
      <c r="C401" s="122"/>
      <c r="D401" s="122"/>
      <c r="E401" s="122"/>
      <c r="F401" s="122"/>
      <c r="H401" s="96"/>
      <c r="I401" s="96"/>
      <c r="J401" s="96"/>
      <c r="K401" s="96"/>
      <c r="L401" s="96"/>
      <c r="M401" s="96"/>
      <c r="N401" s="96"/>
      <c r="O401" s="97"/>
      <c r="P401" s="97"/>
      <c r="Q401" s="97"/>
      <c r="R401" s="97"/>
      <c r="S401" s="97"/>
      <c r="T401" s="97"/>
      <c r="U401" s="97"/>
      <c r="V401" s="96"/>
      <c r="W401" s="96"/>
      <c r="X401" s="96"/>
      <c r="Y401" s="96"/>
      <c r="Z401" s="96"/>
      <c r="AA401" s="96"/>
      <c r="AB401" s="96"/>
    </row>
    <row r="402" spans="3:28" ht="12.75">
      <c r="C402" s="122">
        <f>SUM(C403:E403)</f>
        <v>62</v>
      </c>
      <c r="D402" s="122"/>
      <c r="E402" s="122"/>
      <c r="H402" s="95" t="s">
        <v>33</v>
      </c>
      <c r="I402" s="96"/>
      <c r="J402" s="96"/>
      <c r="K402" s="96"/>
      <c r="L402" s="96"/>
      <c r="M402" s="96"/>
      <c r="N402" s="96"/>
      <c r="O402" s="97"/>
      <c r="P402" s="97"/>
      <c r="Q402" s="97"/>
      <c r="R402" s="97"/>
      <c r="S402" s="97"/>
      <c r="T402" s="97"/>
      <c r="U402" s="97"/>
      <c r="V402" s="96"/>
      <c r="W402" s="96"/>
      <c r="X402" s="96"/>
      <c r="Y402" s="96"/>
      <c r="Z402" s="96"/>
      <c r="AA402" s="96"/>
      <c r="AB402" s="96"/>
    </row>
    <row r="403" spans="3:28" ht="13.5" thickBot="1">
      <c r="C403" s="8">
        <f>IF(J404=0,0,+IF(C407&gt;4*G405,4*G405,+C407))</f>
        <v>31</v>
      </c>
      <c r="D403" s="8">
        <f>+J407</f>
        <v>0</v>
      </c>
      <c r="E403" s="8">
        <f>IF(K404=0,0,+IF(C407&gt;4*G405,4*G405,+C407))</f>
        <v>31</v>
      </c>
      <c r="H403" s="96"/>
      <c r="I403" s="96"/>
      <c r="J403" s="98" t="s">
        <v>14</v>
      </c>
      <c r="K403" s="98" t="s">
        <v>15</v>
      </c>
      <c r="L403" s="96"/>
      <c r="M403" s="96"/>
      <c r="N403" s="96"/>
      <c r="O403" s="97"/>
      <c r="P403" s="97"/>
      <c r="Q403" s="97"/>
      <c r="R403" s="97"/>
      <c r="S403" s="97"/>
      <c r="T403" s="97"/>
      <c r="U403" s="97"/>
      <c r="V403" s="96"/>
      <c r="W403" s="96"/>
      <c r="X403" s="96"/>
      <c r="Y403" s="96"/>
      <c r="Z403" s="96"/>
      <c r="AA403" s="96"/>
      <c r="AB403" s="96"/>
    </row>
    <row r="404" spans="1:28" ht="13.5" thickBot="1">
      <c r="A404" s="1">
        <f>+J406</f>
        <v>0</v>
      </c>
      <c r="D404" s="18"/>
      <c r="H404" s="96" t="s">
        <v>13</v>
      </c>
      <c r="I404" s="96"/>
      <c r="J404" s="95">
        <f>+$E$8*100</f>
        <v>470</v>
      </c>
      <c r="K404" s="95">
        <f>+$E$14*100</f>
        <v>500</v>
      </c>
      <c r="L404" s="96" t="s">
        <v>3</v>
      </c>
      <c r="M404" s="96"/>
      <c r="N404" s="96"/>
      <c r="O404" s="99" t="s">
        <v>4</v>
      </c>
      <c r="P404" s="99" t="s">
        <v>5</v>
      </c>
      <c r="Q404" s="99" t="s">
        <v>6</v>
      </c>
      <c r="R404" s="99" t="s">
        <v>7</v>
      </c>
      <c r="S404" s="99" t="s">
        <v>8</v>
      </c>
      <c r="T404" s="99" t="s">
        <v>19</v>
      </c>
      <c r="U404" s="99" t="s">
        <v>20</v>
      </c>
      <c r="V404" s="100"/>
      <c r="W404" s="96"/>
      <c r="X404" s="96"/>
      <c r="Y404" s="96"/>
      <c r="Z404" s="96"/>
      <c r="AA404" s="96"/>
      <c r="AB404" s="96"/>
    </row>
    <row r="405" spans="2:28" ht="13.5" thickBot="1">
      <c r="B405" s="13"/>
      <c r="C405" s="9"/>
      <c r="D405" s="17"/>
      <c r="E405" s="10"/>
      <c r="F405" s="14"/>
      <c r="G405" s="7">
        <f>+J408</f>
        <v>14</v>
      </c>
      <c r="H405" s="96" t="s">
        <v>0</v>
      </c>
      <c r="I405" s="96"/>
      <c r="J405" s="95">
        <f>+$F$26</f>
        <v>45</v>
      </c>
      <c r="K405" s="96" t="s">
        <v>3</v>
      </c>
      <c r="L405" s="96"/>
      <c r="M405" s="96"/>
      <c r="N405" s="100" t="s">
        <v>24</v>
      </c>
      <c r="O405" s="100">
        <f>+D410</f>
        <v>0</v>
      </c>
      <c r="P405" s="100">
        <f>+C407</f>
        <v>31</v>
      </c>
      <c r="Q405" s="101">
        <f>+O405*P405</f>
        <v>0</v>
      </c>
      <c r="R405" s="102">
        <f>+G405+C407/2</f>
        <v>29.5</v>
      </c>
      <c r="S405" s="101">
        <f>+Q405*R405</f>
        <v>0</v>
      </c>
      <c r="T405" s="101">
        <f>+O405*(P405^3)/12</f>
        <v>0</v>
      </c>
      <c r="U405" s="101">
        <f>+Q405*(S409-R405)^2</f>
        <v>0</v>
      </c>
      <c r="V405" s="100"/>
      <c r="W405" s="96"/>
      <c r="X405" s="96"/>
      <c r="Y405" s="96"/>
      <c r="Z405" s="96"/>
      <c r="AA405" s="96"/>
      <c r="AB405" s="96"/>
    </row>
    <row r="406" spans="4:28" ht="12.75">
      <c r="D406" s="11"/>
      <c r="H406" s="96" t="s">
        <v>18</v>
      </c>
      <c r="I406" s="96"/>
      <c r="J406" s="95">
        <f>+$H$26</f>
        <v>0</v>
      </c>
      <c r="K406" s="96" t="s">
        <v>3</v>
      </c>
      <c r="L406" s="96"/>
      <c r="M406" s="96"/>
      <c r="N406" s="100" t="s">
        <v>23</v>
      </c>
      <c r="O406" s="100">
        <f>+D410</f>
        <v>0</v>
      </c>
      <c r="P406" s="100">
        <f>+A404</f>
        <v>0</v>
      </c>
      <c r="Q406" s="101">
        <f>+O406*P406</f>
        <v>0</v>
      </c>
      <c r="R406" s="102">
        <f>-A404/2</f>
        <v>0</v>
      </c>
      <c r="S406" s="101">
        <f>+Q406*R406</f>
        <v>0</v>
      </c>
      <c r="T406" s="101">
        <f>+O406*(P406^3)/12</f>
        <v>0</v>
      </c>
      <c r="U406" s="101">
        <f>+Q406*(S409-R406)^2</f>
        <v>0</v>
      </c>
      <c r="V406" s="100"/>
      <c r="W406" s="96"/>
      <c r="X406" s="96"/>
      <c r="Y406" s="96"/>
      <c r="Z406" s="96"/>
      <c r="AA406" s="96"/>
      <c r="AB406" s="96"/>
    </row>
    <row r="407" spans="1:28" ht="12.75">
      <c r="A407" s="1">
        <f>+J405-J406</f>
        <v>45</v>
      </c>
      <c r="C407" s="1">
        <f>+A407-G405</f>
        <v>31</v>
      </c>
      <c r="D407" s="11"/>
      <c r="H407" s="96" t="s">
        <v>1</v>
      </c>
      <c r="I407" s="96"/>
      <c r="J407" s="95">
        <f>+$E$26</f>
        <v>0</v>
      </c>
      <c r="K407" s="96" t="s">
        <v>3</v>
      </c>
      <c r="L407" s="96"/>
      <c r="M407" s="96"/>
      <c r="N407" s="100" t="s">
        <v>22</v>
      </c>
      <c r="O407" s="100">
        <f>+C402</f>
        <v>62</v>
      </c>
      <c r="P407" s="100">
        <f>+G405</f>
        <v>14</v>
      </c>
      <c r="Q407" s="101">
        <f>+O407*P407</f>
        <v>868</v>
      </c>
      <c r="R407" s="102">
        <f>+G405/2</f>
        <v>7</v>
      </c>
      <c r="S407" s="101">
        <f>+Q407*R407</f>
        <v>6076</v>
      </c>
      <c r="T407" s="101">
        <f>+O407*(P407^3)/12</f>
        <v>14177.333333333334</v>
      </c>
      <c r="U407" s="101">
        <f>+Q407*(S409-R407)^2</f>
        <v>0</v>
      </c>
      <c r="V407" s="100"/>
      <c r="W407" s="96"/>
      <c r="X407" s="96"/>
      <c r="Y407" s="96"/>
      <c r="Z407" s="96"/>
      <c r="AA407" s="96"/>
      <c r="AB407" s="96"/>
    </row>
    <row r="408" spans="4:28" ht="12.75">
      <c r="D408" s="11"/>
      <c r="H408" s="96" t="s">
        <v>2</v>
      </c>
      <c r="I408" s="96"/>
      <c r="J408" s="95">
        <f>+$Y309</f>
        <v>14</v>
      </c>
      <c r="K408" s="96" t="s">
        <v>3</v>
      </c>
      <c r="L408" s="96"/>
      <c r="M408" s="96"/>
      <c r="N408" s="100"/>
      <c r="O408" s="100"/>
      <c r="P408" s="100"/>
      <c r="Q408" s="103">
        <f>SUM(Q405:Q407)</f>
        <v>868</v>
      </c>
      <c r="R408" s="100"/>
      <c r="S408" s="103">
        <f>SUM(S405:S407)</f>
        <v>6076</v>
      </c>
      <c r="T408" s="103">
        <f>SUM(T405:T407)</f>
        <v>14177.333333333334</v>
      </c>
      <c r="U408" s="103">
        <f>SUM(U405:U407)</f>
        <v>0</v>
      </c>
      <c r="V408" s="100"/>
      <c r="W408" s="96"/>
      <c r="X408" s="96"/>
      <c r="Y408" s="96"/>
      <c r="Z408" s="96"/>
      <c r="AA408" s="96"/>
      <c r="AB408" s="96"/>
    </row>
    <row r="409" spans="4:28" ht="13.5" thickBot="1">
      <c r="D409" s="12"/>
      <c r="H409" s="96" t="s">
        <v>10</v>
      </c>
      <c r="I409" s="96"/>
      <c r="J409" s="104">
        <f>+T408+U408</f>
        <v>14177.333333333334</v>
      </c>
      <c r="K409" s="96" t="s">
        <v>11</v>
      </c>
      <c r="L409" s="96"/>
      <c r="M409" s="96"/>
      <c r="N409" s="100"/>
      <c r="O409" s="100"/>
      <c r="P409" s="100"/>
      <c r="Q409" s="100"/>
      <c r="R409" s="99" t="s">
        <v>9</v>
      </c>
      <c r="S409" s="102">
        <f>+S408/Q408</f>
        <v>7</v>
      </c>
      <c r="T409" s="100"/>
      <c r="U409" s="100"/>
      <c r="V409" s="100"/>
      <c r="W409" s="96"/>
      <c r="X409" s="96"/>
      <c r="Y409" s="96"/>
      <c r="Z409" s="96"/>
      <c r="AA409" s="96"/>
      <c r="AB409" s="96"/>
    </row>
    <row r="410" spans="4:28" ht="13.5" thickBot="1">
      <c r="D410" s="1">
        <f>+J407</f>
        <v>0</v>
      </c>
      <c r="H410" s="96" t="s">
        <v>12</v>
      </c>
      <c r="I410" s="96"/>
      <c r="J410" s="104">
        <f>+T410</f>
        <v>110903.33333333333</v>
      </c>
      <c r="K410" s="96" t="s">
        <v>11</v>
      </c>
      <c r="L410" s="96"/>
      <c r="M410" s="96"/>
      <c r="N410" s="100" t="s">
        <v>21</v>
      </c>
      <c r="O410" s="100">
        <f>+B401</f>
        <v>485</v>
      </c>
      <c r="P410" s="100">
        <f>+J408</f>
        <v>14</v>
      </c>
      <c r="Q410" s="101">
        <f>+O410*P410</f>
        <v>6790</v>
      </c>
      <c r="R410" s="102"/>
      <c r="S410" s="101"/>
      <c r="T410" s="101">
        <f>+O410*(P410^3)/12</f>
        <v>110903.33333333333</v>
      </c>
      <c r="U410" s="100"/>
      <c r="V410" s="100"/>
      <c r="W410" s="96"/>
      <c r="X410" s="96"/>
      <c r="Y410" s="96"/>
      <c r="Z410" s="96"/>
      <c r="AA410" s="96"/>
      <c r="AB410" s="96"/>
    </row>
    <row r="411" spans="8:28" ht="17.25" thickBot="1" thickTop="1">
      <c r="H411" s="96"/>
      <c r="I411" s="105" t="s">
        <v>103</v>
      </c>
      <c r="J411" s="106">
        <f>IF(J405=0,0,+J409/J410)</f>
        <v>0.12783505154639177</v>
      </c>
      <c r="K411" s="96"/>
      <c r="L411" s="96"/>
      <c r="M411" s="96"/>
      <c r="N411" s="96"/>
      <c r="O411" s="97"/>
      <c r="P411" s="97"/>
      <c r="Q411" s="97"/>
      <c r="R411" s="97"/>
      <c r="S411" s="97"/>
      <c r="T411" s="97"/>
      <c r="U411" s="97"/>
      <c r="V411" s="96"/>
      <c r="W411" s="96"/>
      <c r="X411" s="96"/>
      <c r="Y411" s="96"/>
      <c r="Z411" s="96"/>
      <c r="AA411" s="96"/>
      <c r="AB411" s="96"/>
    </row>
    <row r="412" spans="1:28" ht="15" thickTop="1">
      <c r="A412" s="25"/>
      <c r="B412" s="25"/>
      <c r="C412" s="25"/>
      <c r="D412" s="25"/>
      <c r="E412" s="25"/>
      <c r="F412" s="25"/>
      <c r="G412" s="25"/>
      <c r="H412" s="107" t="s">
        <v>100</v>
      </c>
      <c r="I412" s="108"/>
      <c r="J412" s="108"/>
      <c r="K412" s="108"/>
      <c r="L412" s="108"/>
      <c r="M412" s="108"/>
      <c r="N412" s="108"/>
      <c r="O412" s="109"/>
      <c r="P412" s="109"/>
      <c r="Q412" s="109"/>
      <c r="R412" s="109"/>
      <c r="S412" s="109"/>
      <c r="T412" s="109"/>
      <c r="U412" s="109"/>
      <c r="V412" s="108"/>
      <c r="W412" s="96"/>
      <c r="X412" s="96"/>
      <c r="Y412" s="96"/>
      <c r="Z412" s="96"/>
      <c r="AA412" s="96"/>
      <c r="AB412" s="96"/>
    </row>
  </sheetData>
  <sheetProtection/>
  <mergeCells count="56">
    <mergeCell ref="B70:F70"/>
    <mergeCell ref="C71:E71"/>
    <mergeCell ref="B83:F83"/>
    <mergeCell ref="C84:E84"/>
    <mergeCell ref="B44:F44"/>
    <mergeCell ref="C45:E45"/>
    <mergeCell ref="B57:F57"/>
    <mergeCell ref="C58:E58"/>
    <mergeCell ref="B97:F97"/>
    <mergeCell ref="C98:E98"/>
    <mergeCell ref="B110:F110"/>
    <mergeCell ref="C111:E111"/>
    <mergeCell ref="B123:F123"/>
    <mergeCell ref="C124:E124"/>
    <mergeCell ref="B136:F136"/>
    <mergeCell ref="C137:E137"/>
    <mergeCell ref="B150:F150"/>
    <mergeCell ref="C151:E151"/>
    <mergeCell ref="B163:F163"/>
    <mergeCell ref="C164:E164"/>
    <mergeCell ref="B176:F176"/>
    <mergeCell ref="C177:E177"/>
    <mergeCell ref="B189:F189"/>
    <mergeCell ref="C190:E190"/>
    <mergeCell ref="B203:F203"/>
    <mergeCell ref="C204:E204"/>
    <mergeCell ref="B216:F216"/>
    <mergeCell ref="C217:E217"/>
    <mergeCell ref="B229:F229"/>
    <mergeCell ref="C230:E230"/>
    <mergeCell ref="B242:F242"/>
    <mergeCell ref="C243:E243"/>
    <mergeCell ref="B256:F256"/>
    <mergeCell ref="C257:E257"/>
    <mergeCell ref="B269:F269"/>
    <mergeCell ref="C270:E270"/>
    <mergeCell ref="B282:F282"/>
    <mergeCell ref="C283:E283"/>
    <mergeCell ref="B295:F295"/>
    <mergeCell ref="C296:E296"/>
    <mergeCell ref="B309:F309"/>
    <mergeCell ref="C310:E310"/>
    <mergeCell ref="B322:F322"/>
    <mergeCell ref="C323:E323"/>
    <mergeCell ref="B335:F335"/>
    <mergeCell ref="C336:E336"/>
    <mergeCell ref="B348:F348"/>
    <mergeCell ref="C349:E349"/>
    <mergeCell ref="B362:F362"/>
    <mergeCell ref="C363:E363"/>
    <mergeCell ref="B375:F375"/>
    <mergeCell ref="C376:E376"/>
    <mergeCell ref="B388:F388"/>
    <mergeCell ref="C389:E389"/>
    <mergeCell ref="B401:F401"/>
    <mergeCell ref="C402:E402"/>
  </mergeCells>
  <printOptions/>
  <pageMargins left="0.984251968503937" right="0.5511811023622047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PA.CE.FO.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Cecilia Folino</dc:creator>
  <cp:keywords/>
  <dc:description>ESTE ARCHIVO ES DE USO EXCLUSIVO DE LA CÁTEDRA DE HORMIGÓN I DE LA FIUBA (UNIVERSIDAD DE BUENOS AIRES) Y DE SUS ALUMNOS</dc:description>
  <cp:lastModifiedBy>Paula</cp:lastModifiedBy>
  <cp:lastPrinted>2002-04-18T13:36:09Z</cp:lastPrinted>
  <dcterms:created xsi:type="dcterms:W3CDTF">2002-01-10T17:16:22Z</dcterms:created>
  <dcterms:modified xsi:type="dcterms:W3CDTF">2013-03-08T20:56:05Z</dcterms:modified>
  <cp:category/>
  <cp:version/>
  <cp:contentType/>
  <cp:contentStatus/>
</cp:coreProperties>
</file>